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land\Desktop\512 KO\1\"/>
    </mc:Choice>
  </mc:AlternateContent>
  <xr:revisionPtr revIDLastSave="0" documentId="10_ncr:8100000_{A7EBA4DF-CC62-45D7-B4FF-D86310BABCA6}" xr6:coauthVersionLast="34" xr6:coauthVersionMax="34" xr10:uidLastSave="{00000000-0000-0000-0000-000000000000}"/>
  <bookViews>
    <workbookView xWindow="0" yWindow="0" windowWidth="15270" windowHeight="12195" tabRatio="802" xr2:uid="{00000000-000D-0000-FFFF-FFFF00000000}"/>
  </bookViews>
  <sheets>
    <sheet name="8+158,89" sheetId="33" r:id="rId1"/>
    <sheet name="10+771,23" sheetId="17" r:id="rId2"/>
    <sheet name="20+828,18" sheetId="18" r:id="rId3"/>
    <sheet name="26+050,91" sheetId="19" r:id="rId4"/>
    <sheet name="24+992" sheetId="20" r:id="rId5"/>
    <sheet name="P6" sheetId="21" r:id="rId6"/>
    <sheet name="P+PP12" sheetId="22" r:id="rId7"/>
    <sheet name="P+PP23" sheetId="23" r:id="rId8"/>
    <sheet name="P+PP34" sheetId="24" r:id="rId9"/>
    <sheet name="P+PP36" sheetId="25" r:id="rId10"/>
    <sheet name="P37" sheetId="26" r:id="rId11"/>
    <sheet name="P+PP42" sheetId="27" r:id="rId12"/>
    <sheet name="P44" sheetId="28" r:id="rId13"/>
    <sheet name="P+PP46" sheetId="29" r:id="rId14"/>
    <sheet name="P53" sheetId="30" r:id="rId15"/>
    <sheet name="Mur1" sheetId="31" r:id="rId16"/>
    <sheet name="Mur2" sheetId="32" r:id="rId17"/>
    <sheet name="Przepusty okrągłe" sheetId="34" r:id="rId18"/>
  </sheets>
  <definedNames>
    <definedName name="_xlnm.Print_Area" localSheetId="1">'10+771,23'!$A$1:$H$36</definedName>
    <definedName name="_xlnm.Print_Area" localSheetId="2">'20+828,18'!$A$1:$H$35</definedName>
    <definedName name="_xlnm.Print_Area" localSheetId="4">'24+992'!$A$1:$H$16</definedName>
    <definedName name="_xlnm.Print_Area" localSheetId="3">'26+050,91'!$A$1:$H$40</definedName>
    <definedName name="_xlnm.Print_Area" localSheetId="0">'8+158,89'!$A$1:$H$83</definedName>
    <definedName name="_xlnm.Print_Area" localSheetId="15">'Mur1'!$A$1:$H$41</definedName>
    <definedName name="_xlnm.Print_Area" localSheetId="16">'Mur2'!$A$1:$H$47</definedName>
    <definedName name="_xlnm.Print_Area" localSheetId="6">'P+PP12'!$A$1:$H$36</definedName>
    <definedName name="_xlnm.Print_Area" localSheetId="7">'P+PP23'!$A$1:$H$35</definedName>
    <definedName name="_xlnm.Print_Area" localSheetId="8">'P+PP34'!$A$1:$H$65</definedName>
    <definedName name="_xlnm.Print_Area" localSheetId="9">'P+PP36'!$A$1:$H$35</definedName>
    <definedName name="_xlnm.Print_Area" localSheetId="11">'P+PP42'!$A$1:$H$32</definedName>
    <definedName name="_xlnm.Print_Area" localSheetId="13">'P+PP46'!$A$1:$H$31</definedName>
    <definedName name="_xlnm.Print_Area" localSheetId="10">'P37'!$A$1:$H$33</definedName>
    <definedName name="_xlnm.Print_Area" localSheetId="12">'P44'!$A$1:$H$32</definedName>
    <definedName name="_xlnm.Print_Area" localSheetId="14">'P53'!$A$1:$H$32</definedName>
    <definedName name="_xlnm.Print_Area" localSheetId="5">'P6'!$A$1:$H$72</definedName>
    <definedName name="_xlnm.Print_Area" localSheetId="17">'Przepusty okrągłe'!$A$1:$H$239</definedName>
    <definedName name="_xlnm.Print_Titles" localSheetId="1">'10+771,23'!$5:$9</definedName>
    <definedName name="_xlnm.Print_Titles" localSheetId="2">'20+828,18'!$5:$9</definedName>
    <definedName name="_xlnm.Print_Titles" localSheetId="4">'24+992'!$5:$9</definedName>
    <definedName name="_xlnm.Print_Titles" localSheetId="3">'26+050,91'!$5:$9</definedName>
    <definedName name="_xlnm.Print_Titles" localSheetId="0">'8+158,89'!$5:$9</definedName>
    <definedName name="_xlnm.Print_Titles" localSheetId="15">'Mur1'!$5:$9</definedName>
    <definedName name="_xlnm.Print_Titles" localSheetId="16">'Mur2'!$5:$9</definedName>
    <definedName name="_xlnm.Print_Titles" localSheetId="6">'P+PP12'!$5:$9</definedName>
    <definedName name="_xlnm.Print_Titles" localSheetId="7">'P+PP23'!$5:$9</definedName>
    <definedName name="_xlnm.Print_Titles" localSheetId="8">'P+PP34'!$5:$9</definedName>
    <definedName name="_xlnm.Print_Titles" localSheetId="9">'P+PP36'!$5:$9</definedName>
    <definedName name="_xlnm.Print_Titles" localSheetId="11">'P+PP42'!$5:$9</definedName>
    <definedName name="_xlnm.Print_Titles" localSheetId="13">'P+PP46'!$5:$9</definedName>
    <definedName name="_xlnm.Print_Titles" localSheetId="10">'P37'!$5:$9</definedName>
    <definedName name="_xlnm.Print_Titles" localSheetId="12">'P44'!$5:$9</definedName>
    <definedName name="_xlnm.Print_Titles" localSheetId="14">'P53'!$5:$9</definedName>
    <definedName name="_xlnm.Print_Titles" localSheetId="5">'P6'!$5:$9</definedName>
    <definedName name="_xlnm.Print_Titles" localSheetId="17">'Przepusty okrągłe'!$5:$9</definedName>
  </definedNames>
  <calcPr calcId="162913"/>
  <fileRecoveryPr autoRecover="0"/>
</workbook>
</file>

<file path=xl/calcChain.xml><?xml version="1.0" encoding="utf-8"?>
<calcChain xmlns="http://schemas.openxmlformats.org/spreadsheetml/2006/main">
  <c r="F137" i="34" l="1"/>
  <c r="F232" i="34"/>
  <c r="F14" i="34" l="1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29" i="33" l="1"/>
  <c r="A28" i="33"/>
  <c r="F24" i="19" l="1"/>
  <c r="A23" i="19" l="1"/>
  <c r="F229" i="34"/>
  <c r="F225" i="34"/>
  <c r="F223" i="34"/>
  <c r="F220" i="34"/>
  <c r="F213" i="34"/>
  <c r="F210" i="34"/>
  <c r="A231" i="34"/>
  <c r="F136" i="34"/>
  <c r="F135" i="34"/>
  <c r="F134" i="34"/>
  <c r="F133" i="34"/>
  <c r="F132" i="34"/>
  <c r="F131" i="34"/>
  <c r="F130" i="34"/>
  <c r="F129" i="34"/>
  <c r="F128" i="34"/>
  <c r="F127" i="34"/>
  <c r="F126" i="34"/>
  <c r="F125" i="34"/>
  <c r="F124" i="34"/>
  <c r="F123" i="34"/>
  <c r="F122" i="34"/>
  <c r="F121" i="34"/>
  <c r="F120" i="34"/>
  <c r="F119" i="34"/>
  <c r="F118" i="34"/>
  <c r="F117" i="34"/>
  <c r="F116" i="34"/>
  <c r="F115" i="34"/>
  <c r="F114" i="34"/>
  <c r="F113" i="34"/>
  <c r="F112" i="34"/>
  <c r="F111" i="34"/>
  <c r="F110" i="34"/>
  <c r="F109" i="34"/>
  <c r="F108" i="34"/>
  <c r="F107" i="34"/>
  <c r="F106" i="34"/>
  <c r="F105" i="34"/>
  <c r="F104" i="34"/>
  <c r="F103" i="34"/>
  <c r="F102" i="34"/>
  <c r="F101" i="34"/>
  <c r="F100" i="34"/>
  <c r="F99" i="34"/>
  <c r="F98" i="34"/>
  <c r="F97" i="34"/>
  <c r="F96" i="34"/>
  <c r="F95" i="34"/>
  <c r="F94" i="34"/>
  <c r="F93" i="34"/>
  <c r="F92" i="34"/>
  <c r="F91" i="34"/>
  <c r="F90" i="34"/>
  <c r="F89" i="34"/>
  <c r="F88" i="34"/>
  <c r="F79" i="34"/>
  <c r="F75" i="34"/>
  <c r="F74" i="34"/>
  <c r="F73" i="34"/>
  <c r="F72" i="34"/>
  <c r="F71" i="34"/>
  <c r="F70" i="34"/>
  <c r="F69" i="34"/>
  <c r="F68" i="34"/>
  <c r="F67" i="34"/>
  <c r="F66" i="34"/>
  <c r="F65" i="34"/>
  <c r="F227" i="34"/>
  <c r="A63" i="34"/>
  <c r="F230" i="34"/>
  <c r="F228" i="34"/>
  <c r="F226" i="34"/>
  <c r="F224" i="34"/>
  <c r="F222" i="34"/>
  <c r="F217" i="34"/>
  <c r="F221" i="34"/>
  <c r="F219" i="34"/>
  <c r="F218" i="34"/>
  <c r="F216" i="34"/>
  <c r="F215" i="34"/>
  <c r="F214" i="34"/>
  <c r="F212" i="34"/>
  <c r="F211" i="34"/>
  <c r="F209" i="34"/>
  <c r="F208" i="34"/>
  <c r="F207" i="34"/>
  <c r="F206" i="34"/>
  <c r="F205" i="34"/>
  <c r="F204" i="34"/>
  <c r="F203" i="34"/>
  <c r="F202" i="34"/>
  <c r="F201" i="34"/>
  <c r="F200" i="34"/>
  <c r="F199" i="34"/>
  <c r="F198" i="34"/>
  <c r="F197" i="34"/>
  <c r="F196" i="34"/>
  <c r="F195" i="34"/>
  <c r="F194" i="34"/>
  <c r="F193" i="34"/>
  <c r="F192" i="34"/>
  <c r="F191" i="34"/>
  <c r="F190" i="34"/>
  <c r="F189" i="34"/>
  <c r="F188" i="34"/>
  <c r="F187" i="34"/>
  <c r="F186" i="34"/>
  <c r="F185" i="34"/>
  <c r="F184" i="34"/>
  <c r="F183" i="34"/>
  <c r="F182" i="34"/>
  <c r="A86" i="34"/>
  <c r="A85" i="34"/>
  <c r="A83" i="34"/>
  <c r="A81" i="34"/>
  <c r="A80" i="34"/>
  <c r="A78" i="34"/>
  <c r="A77" i="34"/>
  <c r="A76" i="34"/>
  <c r="A12" i="34"/>
  <c r="A11" i="34"/>
  <c r="A10" i="34"/>
  <c r="F60" i="33"/>
  <c r="F77" i="33"/>
  <c r="F75" i="33"/>
  <c r="A74" i="33"/>
  <c r="A67" i="33"/>
  <c r="F65" i="33"/>
  <c r="A64" i="33"/>
  <c r="A63" i="33"/>
  <c r="A59" i="33"/>
  <c r="A57" i="33"/>
  <c r="F55" i="33"/>
  <c r="F52" i="33"/>
  <c r="F49" i="33"/>
  <c r="F46" i="33"/>
  <c r="F45" i="33"/>
  <c r="F15" i="33"/>
  <c r="A14" i="33"/>
  <c r="F13" i="33"/>
  <c r="A12" i="33"/>
  <c r="A15" i="33" s="1"/>
  <c r="A11" i="33"/>
  <c r="A10" i="33"/>
  <c r="F35" i="33"/>
  <c r="F33" i="33"/>
  <c r="F31" i="33"/>
  <c r="F25" i="33"/>
  <c r="F181" i="34" l="1"/>
  <c r="A13" i="34"/>
  <c r="A64" i="34" s="1"/>
  <c r="A79" i="34" s="1"/>
  <c r="F87" i="34"/>
  <c r="F64" i="34"/>
  <c r="F13" i="34"/>
  <c r="A19" i="33"/>
  <c r="F21" i="33"/>
  <c r="F19" i="33"/>
  <c r="A81" i="33"/>
  <c r="A79" i="33"/>
  <c r="A78" i="33"/>
  <c r="A76" i="33"/>
  <c r="A73" i="33"/>
  <c r="A72" i="33"/>
  <c r="A70" i="33"/>
  <c r="A66" i="33"/>
  <c r="A61" i="33"/>
  <c r="A56" i="33"/>
  <c r="A54" i="33"/>
  <c r="A53" i="33"/>
  <c r="A51" i="33"/>
  <c r="A50" i="33"/>
  <c r="A48" i="33"/>
  <c r="A47" i="33"/>
  <c r="A44" i="33"/>
  <c r="A43" i="33"/>
  <c r="A42" i="33"/>
  <c r="A40" i="33"/>
  <c r="A38" i="33"/>
  <c r="A37" i="33"/>
  <c r="A34" i="33"/>
  <c r="A32" i="33"/>
  <c r="A30" i="33"/>
  <c r="A27" i="33"/>
  <c r="A26" i="33"/>
  <c r="A24" i="33"/>
  <c r="A23" i="33"/>
  <c r="A22" i="33"/>
  <c r="A20" i="33"/>
  <c r="A18" i="33"/>
  <c r="A17" i="33"/>
  <c r="A16" i="33"/>
  <c r="F36" i="32"/>
  <c r="A35" i="32"/>
  <c r="A34" i="32"/>
  <c r="F42" i="32"/>
  <c r="F39" i="32"/>
  <c r="F33" i="32"/>
  <c r="F29" i="32"/>
  <c r="F26" i="32"/>
  <c r="F22" i="32"/>
  <c r="F18" i="32"/>
  <c r="A19" i="32"/>
  <c r="A17" i="32"/>
  <c r="A16" i="32"/>
  <c r="F15" i="32"/>
  <c r="F13" i="32"/>
  <c r="A82" i="34" l="1"/>
  <c r="F59" i="21"/>
  <c r="F54" i="24"/>
  <c r="A84" i="34" l="1"/>
  <c r="A87" i="34" s="1"/>
  <c r="A45" i="32"/>
  <c r="A44" i="32"/>
  <c r="A43" i="32"/>
  <c r="A41" i="32"/>
  <c r="A40" i="32"/>
  <c r="A38" i="32"/>
  <c r="A37" i="32"/>
  <c r="A32" i="32"/>
  <c r="A31" i="32"/>
  <c r="A30" i="32"/>
  <c r="A28" i="32"/>
  <c r="A27" i="32"/>
  <c r="A25" i="32"/>
  <c r="A24" i="32"/>
  <c r="A23" i="32"/>
  <c r="A21" i="32"/>
  <c r="A20" i="32"/>
  <c r="A14" i="32"/>
  <c r="A12" i="32"/>
  <c r="A11" i="32"/>
  <c r="A10" i="32"/>
  <c r="F33" i="31"/>
  <c r="F30" i="31"/>
  <c r="F26" i="31"/>
  <c r="F15" i="31"/>
  <c r="F13" i="31"/>
  <c r="A13" i="32" l="1"/>
  <c r="A15" i="32" s="1"/>
  <c r="A18" i="32" s="1"/>
  <c r="A22" i="32" l="1"/>
  <c r="A26" i="32" l="1"/>
  <c r="A39" i="31"/>
  <c r="A38" i="31"/>
  <c r="A37" i="31"/>
  <c r="A35" i="31"/>
  <c r="A34" i="31"/>
  <c r="A32" i="31"/>
  <c r="A31" i="31"/>
  <c r="A29" i="31"/>
  <c r="A28" i="31"/>
  <c r="A27" i="31"/>
  <c r="A25" i="31"/>
  <c r="A24" i="31"/>
  <c r="A22" i="31"/>
  <c r="A21" i="31"/>
  <c r="A20" i="31"/>
  <c r="A18" i="31"/>
  <c r="A17" i="31"/>
  <c r="A16" i="31"/>
  <c r="A14" i="31"/>
  <c r="A12" i="31"/>
  <c r="A11" i="31"/>
  <c r="A10" i="31"/>
  <c r="F31" i="30"/>
  <c r="F29" i="30"/>
  <c r="F21" i="30"/>
  <c r="F17" i="30"/>
  <c r="F13" i="30"/>
  <c r="A28" i="30"/>
  <c r="A27" i="30"/>
  <c r="A25" i="30"/>
  <c r="A23" i="30"/>
  <c r="A22" i="30"/>
  <c r="A20" i="30"/>
  <c r="A18" i="30"/>
  <c r="A16" i="30"/>
  <c r="A15" i="30"/>
  <c r="A14" i="30"/>
  <c r="A12" i="30"/>
  <c r="A11" i="30"/>
  <c r="A10" i="30"/>
  <c r="F30" i="29"/>
  <c r="F21" i="29"/>
  <c r="F17" i="29"/>
  <c r="F13" i="29"/>
  <c r="A28" i="29"/>
  <c r="A27" i="29"/>
  <c r="A25" i="29"/>
  <c r="A23" i="29"/>
  <c r="A22" i="29"/>
  <c r="A20" i="29"/>
  <c r="A18" i="29"/>
  <c r="A16" i="29"/>
  <c r="A15" i="29"/>
  <c r="A14" i="29"/>
  <c r="A12" i="29"/>
  <c r="A11" i="29"/>
  <c r="A10" i="29"/>
  <c r="A13" i="29" s="1"/>
  <c r="F31" i="28"/>
  <c r="F19" i="28"/>
  <c r="F15" i="28"/>
  <c r="F13" i="28"/>
  <c r="A14" i="28"/>
  <c r="A29" i="28"/>
  <c r="A28" i="28"/>
  <c r="A26" i="28"/>
  <c r="A24" i="28"/>
  <c r="A23" i="28"/>
  <c r="F21" i="28"/>
  <c r="A20" i="28"/>
  <c r="A18" i="28"/>
  <c r="A17" i="28"/>
  <c r="A16" i="28"/>
  <c r="A12" i="28"/>
  <c r="A11" i="28"/>
  <c r="A10" i="28"/>
  <c r="F31" i="27"/>
  <c r="F29" i="27"/>
  <c r="F21" i="27"/>
  <c r="F17" i="27"/>
  <c r="A16" i="27"/>
  <c r="F13" i="27"/>
  <c r="A28" i="27"/>
  <c r="A27" i="27"/>
  <c r="A25" i="27"/>
  <c r="A23" i="27"/>
  <c r="A22" i="27"/>
  <c r="A20" i="27"/>
  <c r="A18" i="27"/>
  <c r="A15" i="27"/>
  <c r="A14" i="27"/>
  <c r="A12" i="27"/>
  <c r="A11" i="27"/>
  <c r="A10" i="27"/>
  <c r="F32" i="26"/>
  <c r="F30" i="26"/>
  <c r="F20" i="26"/>
  <c r="F16" i="26"/>
  <c r="F13" i="26"/>
  <c r="A29" i="26"/>
  <c r="A28" i="26"/>
  <c r="A26" i="26"/>
  <c r="A24" i="26"/>
  <c r="A23" i="26"/>
  <c r="A21" i="26"/>
  <c r="A19" i="26"/>
  <c r="A18" i="26"/>
  <c r="A17" i="26"/>
  <c r="A15" i="26"/>
  <c r="A14" i="26"/>
  <c r="A12" i="26"/>
  <c r="A11" i="26"/>
  <c r="A10" i="26"/>
  <c r="F34" i="25"/>
  <c r="F32" i="25"/>
  <c r="F24" i="25"/>
  <c r="F22" i="25"/>
  <c r="F20" i="25"/>
  <c r="F16" i="25"/>
  <c r="F13" i="25"/>
  <c r="A31" i="25"/>
  <c r="A30" i="25"/>
  <c r="A28" i="25"/>
  <c r="A26" i="25"/>
  <c r="A25" i="25"/>
  <c r="A23" i="25"/>
  <c r="A21" i="25"/>
  <c r="A19" i="25"/>
  <c r="A18" i="25"/>
  <c r="A17" i="25"/>
  <c r="A15" i="25"/>
  <c r="A14" i="25"/>
  <c r="A12" i="25"/>
  <c r="A11" i="25"/>
  <c r="A10" i="25"/>
  <c r="F61" i="24"/>
  <c r="F58" i="24"/>
  <c r="F48" i="24"/>
  <c r="F45" i="24"/>
  <c r="F42" i="24"/>
  <c r="F39" i="24"/>
  <c r="F32" i="24"/>
  <c r="F27" i="24"/>
  <c r="F25" i="24"/>
  <c r="F23" i="24"/>
  <c r="F19" i="24"/>
  <c r="F24" i="21"/>
  <c r="F15" i="24"/>
  <c r="F13" i="24"/>
  <c r="A63" i="24"/>
  <c r="A62" i="24"/>
  <c r="A59" i="24"/>
  <c r="A57" i="24"/>
  <c r="A56" i="24"/>
  <c r="A55" i="24"/>
  <c r="A53" i="24"/>
  <c r="A52" i="24"/>
  <c r="A50" i="24"/>
  <c r="A49" i="24"/>
  <c r="A47" i="24"/>
  <c r="A46" i="24"/>
  <c r="A44" i="24"/>
  <c r="A43" i="24"/>
  <c r="A41" i="24"/>
  <c r="A40" i="24"/>
  <c r="A38" i="24"/>
  <c r="A37" i="24"/>
  <c r="A36" i="24"/>
  <c r="A34" i="24"/>
  <c r="A33" i="24"/>
  <c r="A31" i="24"/>
  <c r="A30" i="24"/>
  <c r="F29" i="24"/>
  <c r="A28" i="24"/>
  <c r="A26" i="24"/>
  <c r="A24" i="24"/>
  <c r="A22" i="24"/>
  <c r="A21" i="24"/>
  <c r="A20" i="24"/>
  <c r="A18" i="24"/>
  <c r="A17" i="24"/>
  <c r="A16" i="24"/>
  <c r="A14" i="24"/>
  <c r="A12" i="24"/>
  <c r="A11" i="24"/>
  <c r="A10" i="24"/>
  <c r="F34" i="23"/>
  <c r="F32" i="23"/>
  <c r="F24" i="23"/>
  <c r="F22" i="23"/>
  <c r="F20" i="23"/>
  <c r="F16" i="23"/>
  <c r="F13" i="23"/>
  <c r="A31" i="23"/>
  <c r="A30" i="23"/>
  <c r="A28" i="23"/>
  <c r="A26" i="23"/>
  <c r="A25" i="23"/>
  <c r="A23" i="23"/>
  <c r="A21" i="23"/>
  <c r="A19" i="23"/>
  <c r="A18" i="23"/>
  <c r="A17" i="23"/>
  <c r="A15" i="23"/>
  <c r="A14" i="23"/>
  <c r="A12" i="23"/>
  <c r="A11" i="23"/>
  <c r="A10" i="23"/>
  <c r="A181" i="34" l="1"/>
  <c r="A17" i="29"/>
  <c r="A29" i="32"/>
  <c r="A13" i="31"/>
  <c r="A15" i="31" s="1"/>
  <c r="A13" i="30"/>
  <c r="A19" i="29"/>
  <c r="A21" i="29" s="1"/>
  <c r="A24" i="29" s="1"/>
  <c r="A13" i="28"/>
  <c r="A15" i="28" s="1"/>
  <c r="A19" i="28" s="1"/>
  <c r="A13" i="27"/>
  <c r="A17" i="27" s="1"/>
  <c r="A19" i="27" s="1"/>
  <c r="A13" i="26"/>
  <c r="A16" i="26" s="1"/>
  <c r="A13" i="25"/>
  <c r="A13" i="24"/>
  <c r="A15" i="24" s="1"/>
  <c r="A13" i="23"/>
  <c r="F35" i="22"/>
  <c r="F15" i="22"/>
  <c r="A14" i="22"/>
  <c r="F26" i="22"/>
  <c r="F24" i="22"/>
  <c r="F22" i="22"/>
  <c r="F18" i="22"/>
  <c r="F13" i="22"/>
  <c r="A33" i="22"/>
  <c r="A32" i="22"/>
  <c r="A30" i="22"/>
  <c r="A28" i="22"/>
  <c r="A27" i="22"/>
  <c r="A25" i="22"/>
  <c r="A23" i="22"/>
  <c r="A21" i="22"/>
  <c r="A20" i="22"/>
  <c r="A19" i="22"/>
  <c r="A17" i="22"/>
  <c r="A16" i="22"/>
  <c r="A12" i="22"/>
  <c r="A11" i="22"/>
  <c r="A10" i="22"/>
  <c r="A58" i="21"/>
  <c r="A57" i="21"/>
  <c r="F66" i="21"/>
  <c r="F63" i="21"/>
  <c r="F37" i="21"/>
  <c r="F56" i="21"/>
  <c r="A55" i="21"/>
  <c r="A54" i="21"/>
  <c r="F53" i="21"/>
  <c r="A33" i="32" l="1"/>
  <c r="A17" i="30"/>
  <c r="A26" i="29"/>
  <c r="A21" i="28"/>
  <c r="A22" i="28" s="1"/>
  <c r="A21" i="27"/>
  <c r="A24" i="27" s="1"/>
  <c r="A20" i="26"/>
  <c r="A22" i="26" s="1"/>
  <c r="A16" i="25"/>
  <c r="A20" i="25" s="1"/>
  <c r="A13" i="22"/>
  <c r="A15" i="22" s="1"/>
  <c r="A52" i="21"/>
  <c r="A51" i="21"/>
  <c r="F50" i="21"/>
  <c r="A49" i="21"/>
  <c r="A48" i="21"/>
  <c r="F47" i="21"/>
  <c r="A46" i="21"/>
  <c r="A45" i="21"/>
  <c r="F44" i="21"/>
  <c r="F30" i="21"/>
  <c r="A29" i="21"/>
  <c r="A43" i="21"/>
  <c r="A42" i="21"/>
  <c r="A41" i="21"/>
  <c r="A39" i="21"/>
  <c r="A38" i="21"/>
  <c r="A36" i="21"/>
  <c r="A35" i="21"/>
  <c r="F34" i="21"/>
  <c r="A33" i="21"/>
  <c r="A31" i="21"/>
  <c r="F28" i="21"/>
  <c r="A36" i="32" l="1"/>
  <c r="A39" i="32" s="1"/>
  <c r="A42" i="32" s="1"/>
  <c r="A46" i="32" s="1"/>
  <c r="A19" i="31"/>
  <c r="A19" i="30"/>
  <c r="A29" i="29"/>
  <c r="A30" i="29" s="1"/>
  <c r="A25" i="28"/>
  <c r="A27" i="28" s="1"/>
  <c r="A26" i="27"/>
  <c r="A29" i="27" s="1"/>
  <c r="A30" i="27" s="1"/>
  <c r="A25" i="26"/>
  <c r="A27" i="26" s="1"/>
  <c r="A22" i="25"/>
  <c r="A24" i="25" s="1"/>
  <c r="A19" i="24"/>
  <c r="A16" i="23"/>
  <c r="A18" i="22"/>
  <c r="A22" i="22" s="1"/>
  <c r="A27" i="21"/>
  <c r="A26" i="21"/>
  <c r="A25" i="21"/>
  <c r="A23" i="21"/>
  <c r="A22" i="21"/>
  <c r="A21" i="21"/>
  <c r="A60" i="21"/>
  <c r="A61" i="21"/>
  <c r="F15" i="21"/>
  <c r="A14" i="21"/>
  <c r="F17" i="21"/>
  <c r="A16" i="21"/>
  <c r="F20" i="21"/>
  <c r="F13" i="21"/>
  <c r="A70" i="21"/>
  <c r="A68" i="21"/>
  <c r="A67" i="21"/>
  <c r="A64" i="21"/>
  <c r="A62" i="21"/>
  <c r="A19" i="21"/>
  <c r="A18" i="21"/>
  <c r="A12" i="21"/>
  <c r="A11" i="21"/>
  <c r="A10" i="21"/>
  <c r="A14" i="20"/>
  <c r="A12" i="20"/>
  <c r="A11" i="20"/>
  <c r="A10" i="20"/>
  <c r="F29" i="19"/>
  <c r="A28" i="19"/>
  <c r="A30" i="19"/>
  <c r="A31" i="19"/>
  <c r="A33" i="19"/>
  <c r="A35" i="19"/>
  <c r="A36" i="19"/>
  <c r="F20" i="19"/>
  <c r="A19" i="19"/>
  <c r="F39" i="19"/>
  <c r="F37" i="19"/>
  <c r="F26" i="19"/>
  <c r="F22" i="19"/>
  <c r="F16" i="19"/>
  <c r="F16" i="18"/>
  <c r="F18" i="17"/>
  <c r="F13" i="19"/>
  <c r="A25" i="19"/>
  <c r="A21" i="19"/>
  <c r="A18" i="19"/>
  <c r="A17" i="19"/>
  <c r="A15" i="19"/>
  <c r="A14" i="19"/>
  <c r="A12" i="19"/>
  <c r="A11" i="19"/>
  <c r="A10" i="19"/>
  <c r="F34" i="18"/>
  <c r="F32" i="18"/>
  <c r="F24" i="18"/>
  <c r="F22" i="18"/>
  <c r="F20" i="18"/>
  <c r="F13" i="18"/>
  <c r="A31" i="18"/>
  <c r="A30" i="18"/>
  <c r="A28" i="18"/>
  <c r="A26" i="18"/>
  <c r="A25" i="18"/>
  <c r="A23" i="18"/>
  <c r="A21" i="18"/>
  <c r="A19" i="18"/>
  <c r="A18" i="18"/>
  <c r="A17" i="18"/>
  <c r="A15" i="18"/>
  <c r="A14" i="18"/>
  <c r="A12" i="18"/>
  <c r="A11" i="18"/>
  <c r="A10" i="18"/>
  <c r="F35" i="17"/>
  <c r="F26" i="17"/>
  <c r="F24" i="17"/>
  <c r="F22" i="17"/>
  <c r="F15" i="17"/>
  <c r="F13" i="17"/>
  <c r="A14" i="17"/>
  <c r="A30" i="17"/>
  <c r="A28" i="17"/>
  <c r="A27" i="17"/>
  <c r="A33" i="17"/>
  <c r="A32" i="17"/>
  <c r="A25" i="17"/>
  <c r="A23" i="17"/>
  <c r="A21" i="17"/>
  <c r="A20" i="17"/>
  <c r="A19" i="17"/>
  <c r="A17" i="17"/>
  <c r="A12" i="17"/>
  <c r="A21" i="30" l="1"/>
  <c r="A30" i="28"/>
  <c r="A30" i="26"/>
  <c r="A31" i="26" s="1"/>
  <c r="A32" i="26" s="1"/>
  <c r="A31" i="27"/>
  <c r="A27" i="25"/>
  <c r="A29" i="25" s="1"/>
  <c r="A32" i="25" s="1"/>
  <c r="A23" i="24"/>
  <c r="A20" i="23"/>
  <c r="A22" i="23" s="1"/>
  <c r="A24" i="23" s="1"/>
  <c r="A24" i="22"/>
  <c r="A26" i="22" s="1"/>
  <c r="A13" i="21"/>
  <c r="A15" i="21" s="1"/>
  <c r="A13" i="19"/>
  <c r="A13" i="18"/>
  <c r="A16" i="17"/>
  <c r="A24" i="30" l="1"/>
  <c r="A26" i="30" s="1"/>
  <c r="A17" i="21"/>
  <c r="A20" i="21" s="1"/>
  <c r="A23" i="31"/>
  <c r="A31" i="28"/>
  <c r="A33" i="25"/>
  <c r="A34" i="25" s="1"/>
  <c r="A25" i="24"/>
  <c r="A27" i="24" s="1"/>
  <c r="A29" i="24" s="1"/>
  <c r="A32" i="24" s="1"/>
  <c r="A27" i="23"/>
  <c r="A29" i="23" s="1"/>
  <c r="A16" i="19"/>
  <c r="A20" i="19" s="1"/>
  <c r="A16" i="18"/>
  <c r="A11" i="17"/>
  <c r="A10" i="17"/>
  <c r="A24" i="21" l="1"/>
  <c r="A28" i="21" s="1"/>
  <c r="A29" i="30"/>
  <c r="A30" i="30" s="1"/>
  <c r="A31" i="30" s="1"/>
  <c r="A32" i="23"/>
  <c r="A33" i="23"/>
  <c r="A34" i="23" s="1"/>
  <c r="A35" i="24"/>
  <c r="A39" i="24" s="1"/>
  <c r="A42" i="24" s="1"/>
  <c r="A29" i="22"/>
  <c r="A31" i="22"/>
  <c r="A22" i="19"/>
  <c r="A20" i="18"/>
  <c r="A22" i="18" s="1"/>
  <c r="A13" i="17"/>
  <c r="A15" i="17" s="1"/>
  <c r="A24" i="19" l="1"/>
  <c r="A26" i="19" s="1"/>
  <c r="A27" i="19" s="1"/>
  <c r="A29" i="19" s="1"/>
  <c r="A45" i="24"/>
  <c r="A48" i="24" s="1"/>
  <c r="A51" i="24" s="1"/>
  <c r="A54" i="24" s="1"/>
  <c r="A58" i="24" s="1"/>
  <c r="A60" i="24" s="1"/>
  <c r="A61" i="24" s="1"/>
  <c r="A64" i="24" s="1"/>
  <c r="A34" i="22"/>
  <c r="A35" i="22" s="1"/>
  <c r="A30" i="21"/>
  <c r="A32" i="21" s="1"/>
  <c r="A13" i="20"/>
  <c r="A18" i="17"/>
  <c r="A22" i="17" s="1"/>
  <c r="A24" i="18"/>
  <c r="A26" i="31" l="1"/>
  <c r="A34" i="21"/>
  <c r="A15" i="20"/>
  <c r="A32" i="19"/>
  <c r="A27" i="18"/>
  <c r="A24" i="17"/>
  <c r="A30" i="31" l="1"/>
  <c r="A33" i="31" s="1"/>
  <c r="A36" i="31" s="1"/>
  <c r="A40" i="31" s="1"/>
  <c r="A37" i="21"/>
  <c r="A34" i="19"/>
  <c r="A37" i="19" s="1"/>
  <c r="A38" i="19" s="1"/>
  <c r="A29" i="18"/>
  <c r="A32" i="18" s="1"/>
  <c r="A26" i="17"/>
  <c r="A29" i="17" s="1"/>
  <c r="A31" i="17" s="1"/>
  <c r="A40" i="21" l="1"/>
  <c r="A44" i="21" s="1"/>
  <c r="A47" i="21" s="1"/>
  <c r="A50" i="21" s="1"/>
  <c r="A53" i="21" s="1"/>
  <c r="A56" i="21" s="1"/>
  <c r="A59" i="21" s="1"/>
  <c r="A39" i="19"/>
  <c r="A33" i="18"/>
  <c r="A34" i="18" s="1"/>
  <c r="A34" i="17"/>
  <c r="A35" i="17" l="1"/>
  <c r="A63" i="21" l="1"/>
  <c r="A65" i="21" l="1"/>
  <c r="A66" i="21" l="1"/>
  <c r="A69" i="21" s="1"/>
  <c r="A71" i="21" s="1"/>
  <c r="A21" i="33" l="1"/>
  <c r="A25" i="33" l="1"/>
  <c r="A29" i="33" l="1"/>
  <c r="A31" i="33" s="1"/>
  <c r="A33" i="33" s="1"/>
  <c r="A35" i="33" s="1"/>
  <c r="A36" i="33" l="1"/>
  <c r="A39" i="33" s="1"/>
  <c r="A41" i="33" s="1"/>
  <c r="A45" i="33" l="1"/>
  <c r="A46" i="33" l="1"/>
  <c r="A49" i="33" s="1"/>
  <c r="A52" i="33" s="1"/>
  <c r="A55" i="33" s="1"/>
  <c r="A58" i="33" l="1"/>
  <c r="A60" i="33" s="1"/>
  <c r="A62" i="33" s="1"/>
  <c r="A65" i="33" s="1"/>
  <c r="A68" i="33" s="1"/>
  <c r="A69" i="33" s="1"/>
  <c r="A71" i="33" s="1"/>
  <c r="A75" i="33" s="1"/>
  <c r="A77" i="33" l="1"/>
  <c r="A80" i="33" s="1"/>
  <c r="A82" i="33" s="1"/>
</calcChain>
</file>

<file path=xl/sharedStrings.xml><?xml version="1.0" encoding="utf-8"?>
<sst xmlns="http://schemas.openxmlformats.org/spreadsheetml/2006/main" count="1952" uniqueCount="327">
  <si>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</si>
  <si>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</si>
  <si>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</si>
  <si>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</si>
  <si>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</si>
  <si>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</si>
  <si>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</si>
  <si>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45111000-8</t>
  </si>
  <si>
    <t>m</t>
  </si>
  <si>
    <t>45233000-9</t>
  </si>
  <si>
    <t>M-11.00.00.</t>
  </si>
  <si>
    <t>FUNDAMENTOWANIE</t>
  </si>
  <si>
    <t>M-11.01.01.</t>
  </si>
  <si>
    <t>ROBOTY ZIEMNE POD FUNDAMENTY</t>
  </si>
  <si>
    <t>M-11.05.00.</t>
  </si>
  <si>
    <t>M-11.01.00.</t>
  </si>
  <si>
    <t>Wykonanie wykopu z wywozem gruntu i utylizacją</t>
  </si>
  <si>
    <t>ŚCIANKI SZCZELNE</t>
  </si>
  <si>
    <t>M-11.05.01.</t>
  </si>
  <si>
    <t>WYKOPY W GRUNCIE NIESPOISTYM/SPOISTYM</t>
  </si>
  <si>
    <t>Wykonanie obudowy wykopu ścianką szczelną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</si>
  <si>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</si>
  <si>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</si>
  <si>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M-20.00.00.</t>
  </si>
  <si>
    <t>INNE ROBOTY MOSTOWE</t>
  </si>
  <si>
    <t>M-20.01.00.</t>
  </si>
  <si>
    <t>M-20.01.09.</t>
  </si>
  <si>
    <t>45221000-2</t>
  </si>
  <si>
    <t>SCHODY SKARPOWE</t>
  </si>
  <si>
    <t>Schody skarpowe dla obsługi</t>
  </si>
  <si>
    <t>Wykonanie opaski z kamienia na podbudowie betonowej wokół rury przepustu na wlocie i wylocie</t>
  </si>
  <si>
    <t>Umocnienie koryta cieku materacem gabionowym układanym na geowłókninie</t>
  </si>
  <si>
    <t>M-20.01.15.</t>
  </si>
  <si>
    <t>M-20.03.00.</t>
  </si>
  <si>
    <t>PRZEPUSTY</t>
  </si>
  <si>
    <t>M-20.03.01.</t>
  </si>
  <si>
    <t>PRZEPUSTY STALOWE</t>
  </si>
  <si>
    <t>M-20.02.00.</t>
  </si>
  <si>
    <t>ROBOTY RÓŻNE</t>
  </si>
  <si>
    <t>ROBOTY ROZBIÓRKOWE</t>
  </si>
  <si>
    <t>kpl.</t>
  </si>
  <si>
    <t>M-20.02.01.</t>
  </si>
  <si>
    <t>M-20.02.02.</t>
  </si>
  <si>
    <t>Obsługa geodezyjna</t>
  </si>
  <si>
    <t>Wykonanie materaca kruszywowego pod rurą przepustu
- geotkanina,
- podsypka piaskowa gr.10cm,
- georuszt trójosiowy, 
- zasypka z mieszanki niezwiązanej gr. 25cm
- georuszt trójosiowy, 
- zasypka z mieszanki niezwiązanej gr. 10cm
- geotkanina,</t>
  </si>
  <si>
    <t>Wykonanie przepustu z rury łukowo-kołowej zabezpieczonej antykorozyjnie wraz z wykonaniem fundamentu kruszywowego</t>
  </si>
  <si>
    <t>Wykonanie zasypki przepustu wraz z zagęszczeniem</t>
  </si>
  <si>
    <t>M-11.01.05.</t>
  </si>
  <si>
    <t>WYMIANA GRUNTU W WYKOPIE</t>
  </si>
  <si>
    <t>Rozbiórka istniejącego obiektu mostowego z wywozem materiałów z rozbiórki i utylizacją</t>
  </si>
  <si>
    <t>M-20.01.08.</t>
  </si>
  <si>
    <t>MUR Z GRUNTU ZBROJONEGO</t>
  </si>
  <si>
    <t>Wykonanie ściany czołowej z gruntu zbrojonego oblicowanego bloczkami betonowymi</t>
  </si>
  <si>
    <t xml:space="preserve">Wykonanie opaski przy podstawie stożka z kamienia na podbudowie betonowej </t>
  </si>
  <si>
    <t>Wymiana gruntu w wykopie wraz  ułożeniem geowłókniny na wszystkich powierzchniach wykopu</t>
  </si>
  <si>
    <t>M-11.01.04.</t>
  </si>
  <si>
    <t>ZASYPANIE WYKOPÓW WRAZ Z ZAGĘSZCZENIEM</t>
  </si>
  <si>
    <t>Zasypanie wykopów powyżej poziomu posadowienia przepustu</t>
  </si>
  <si>
    <t>M-12.00.00.</t>
  </si>
  <si>
    <t>ZBROJENIE</t>
  </si>
  <si>
    <t>M-12.01.00.</t>
  </si>
  <si>
    <t>STAL ZBROJENIOWA</t>
  </si>
  <si>
    <t>ZBROJENIE BETONU STALĄ KLASY A-IIIN</t>
  </si>
  <si>
    <t>M-12.01.01.</t>
  </si>
  <si>
    <t>Montaż zbrojenia ze stali klasy AIII-N</t>
  </si>
  <si>
    <t>kg</t>
  </si>
  <si>
    <t>45111000-2</t>
  </si>
  <si>
    <t>M-13.00.00.</t>
  </si>
  <si>
    <t>BETON</t>
  </si>
  <si>
    <t>M-13.01.00.</t>
  </si>
  <si>
    <t>BETON KONSTRUKCYJNY – WYMAGANIA OGÓLNE</t>
  </si>
  <si>
    <t>M-13.01.01.</t>
  </si>
  <si>
    <t>Beton fundamentów klasy C30/37</t>
  </si>
  <si>
    <t>m3</t>
  </si>
  <si>
    <t xml:space="preserve">BETON FUNDAMENTÓW </t>
  </si>
  <si>
    <t>M-13.01.03.</t>
  </si>
  <si>
    <t>BETON USTROJU NIOSĄCEGO W DESKOWANIU</t>
  </si>
  <si>
    <t>Beton płyty zespalającej klasy C30/37</t>
  </si>
  <si>
    <t>BETON PŁYT PRZEJŚCIOWYCH</t>
  </si>
  <si>
    <t>Beton płyt przejściowych klasy C30/37</t>
  </si>
  <si>
    <t>BETON NIEKONSTRUKCYJNY</t>
  </si>
  <si>
    <t>BETON PODKŁADOWY I OCHRONNY</t>
  </si>
  <si>
    <t>M-13.01.09.</t>
  </si>
  <si>
    <t>M-13.02.00.</t>
  </si>
  <si>
    <t>M-13.02.01.</t>
  </si>
  <si>
    <t>PREFABRYKATY BETONOWE</t>
  </si>
  <si>
    <t>M-13.03.00.</t>
  </si>
  <si>
    <t>M-13.03.02.</t>
  </si>
  <si>
    <t>PREFABRYKATY PRZEPUSTÓW</t>
  </si>
  <si>
    <t>Prefabrykaty przepustu o przekroju wewnętrznym 1,5m x 1,5m z betonu klasy C40/50</t>
  </si>
  <si>
    <t>M-15.00.00.</t>
  </si>
  <si>
    <t>IZOLACJE</t>
  </si>
  <si>
    <t>M-15.01.00.</t>
  </si>
  <si>
    <t>IZOLACJA CIENKA</t>
  </si>
  <si>
    <t>Beton podkładowy i ochronny klasy C12/15</t>
  </si>
  <si>
    <t>BETON PODPÓR W DESKOWANIU</t>
  </si>
  <si>
    <t>Beton skrzydeł klasy C30/37</t>
  </si>
  <si>
    <t xml:space="preserve"> IZOLACJE BITUMICZNE WYKONYWANE NA ZIMNO</t>
  </si>
  <si>
    <t>M-15.01.01.</t>
  </si>
  <si>
    <t>Izolacja bitumiczna elementów zasypanych podpór i płyty wew. przepustu i skrzydeł</t>
  </si>
  <si>
    <t>M-15.02.00.</t>
  </si>
  <si>
    <t>IZOLACJA GRUBA</t>
  </si>
  <si>
    <t>IZOLACJA Z PAPY TERMOZGRZEWALNEJ</t>
  </si>
  <si>
    <t>Izolacja z papy termozgrzewalnej na górnych powierzchniach płyt przejściowych i płycie zespalającej</t>
  </si>
  <si>
    <t>M-15.02.01.</t>
  </si>
  <si>
    <t>M-15.04.00.</t>
  </si>
  <si>
    <t>NAWIERZCHNIO-IZOLACJE</t>
  </si>
  <si>
    <t>NAWIERZCHNIO-IZOLACJA CHODNIKÓW GR. 5MM</t>
  </si>
  <si>
    <t>M-15.04.01.</t>
  </si>
  <si>
    <t>Nawierzchnio-izolacja na górnych powierzchniach gzymsów</t>
  </si>
  <si>
    <t>m2</t>
  </si>
  <si>
    <t>M-15.06.00.</t>
  </si>
  <si>
    <t>M-15.06.01.</t>
  </si>
  <si>
    <t>ZABEZPIECZENIE ANTYKOROZYJNE BETONU</t>
  </si>
  <si>
    <t>POWIERZCHNIOWE ZABEZPIECZENIE BETONU</t>
  </si>
  <si>
    <t>Powierzchniowe zabezpieczenie elementów betonowych odkrytych</t>
  </si>
  <si>
    <t>M-16.00.00.</t>
  </si>
  <si>
    <t>ODWODNIENIE</t>
  </si>
  <si>
    <t>Drenaż za płytą przejściową</t>
  </si>
  <si>
    <t>UMOCNIENIE SKARP, STOŻKÓW I DNA CIEKÓW ELEMENTAMI KAMIENNYMI</t>
  </si>
  <si>
    <t>Wykonanie umocnienia dna i skarp elementami kamiennymi na podbudowie cementowo piaskowej z wypełnieniem spoin zaprawą cementową</t>
  </si>
  <si>
    <t>UMOCNIENIE KORYTA CIEKU/RZEKI ELEMENTAMI GABIONOWYMI</t>
  </si>
  <si>
    <t>M-20.01.13.</t>
  </si>
  <si>
    <t>Rozbiórka istniejącego przepustu z wywozem materiałów z rozbiórki i utylizacją</t>
  </si>
  <si>
    <t>Umocnienie koryta cieku wewnątrz przepustu materacem gabionowym układanym na geowłókninie</t>
  </si>
  <si>
    <t>Wykonanie półki dla zwierząt z koszy gabionowych wraz z wykonanie wyściółki gruntowej na gabionach</t>
  </si>
  <si>
    <t>M-19.00.00.</t>
  </si>
  <si>
    <t>ELEMENTY ZABEZPIECZAJĄCE</t>
  </si>
  <si>
    <t>BALUSTRADY STALOWE</t>
  </si>
  <si>
    <t>M-19.01.04.</t>
  </si>
  <si>
    <t>Balustrady stalowe na ściankach czołowych</t>
  </si>
  <si>
    <t>Przepust P37 w m. Zięby na rzece Wałaszy</t>
  </si>
  <si>
    <t>Wykonanie umocnienia dna i skarp elementami kamiennymi na podbudowie betonowej z wypełnieniem spoin zaprawą cementową</t>
  </si>
  <si>
    <t>Przepust P53 na rzece Kamionce</t>
  </si>
  <si>
    <t>Mur nr 1</t>
  </si>
  <si>
    <t xml:space="preserve">Zasypanie wykopów </t>
  </si>
  <si>
    <t>Beton muru oporowego C30/37</t>
  </si>
  <si>
    <t xml:space="preserve">Izolacja bitumiczna elementów zasypanych </t>
  </si>
  <si>
    <t xml:space="preserve">Balustrady stalowe </t>
  </si>
  <si>
    <t xml:space="preserve">ŚCIANKA SZCZELNA STALOWA </t>
  </si>
  <si>
    <t>ŚCIANKA SZCZELNA STALOWA</t>
  </si>
  <si>
    <t>Wykonanie obudowy wykopu ścianką szczelną (tymczasową)</t>
  </si>
  <si>
    <t>Wykonanie obudowy wykopu ścianką szczelną  (tymczasową)</t>
  </si>
  <si>
    <t>Wykonanie stałych ścianek szczelnych G62</t>
  </si>
  <si>
    <t>Oblicowanie ścianek szczelnych betonem klasy C30/37</t>
  </si>
  <si>
    <t>Beton nadbudowy skrzydeł klasy C30/37</t>
  </si>
  <si>
    <t>Nadbeton belek skrajnych klasy C30/37</t>
  </si>
  <si>
    <t>M-13.01.06.</t>
  </si>
  <si>
    <t>BETON KAP CHODNIKOWYCH</t>
  </si>
  <si>
    <t>Beton kap chodnikowych klasy C30/37</t>
  </si>
  <si>
    <t>D-05.00.00.</t>
  </si>
  <si>
    <t>D-05.03.00.</t>
  </si>
  <si>
    <t>NAWIERZCHNIE TWARDE ULEPSZONE</t>
  </si>
  <si>
    <t>D-05.03.07.</t>
  </si>
  <si>
    <t>WARSTWA WIĄŻĄCA Z ASFALTU LANEGO MA11 NA OBIEKTACH MOSTOWYCH</t>
  </si>
  <si>
    <t>Wykonanie warstwy wiążącej grubości 20 do 150mm układanej warstwami</t>
  </si>
  <si>
    <t>D-05.03.13.</t>
  </si>
  <si>
    <t>WARSTWA ŚCIERALNA Z MASTYKSU GRYSOWEGO SMA11 NA OBIEKTACH MOSTOWYCH</t>
  </si>
  <si>
    <t>Wykonanie warstwy ścieralnej grubości 40mm</t>
  </si>
  <si>
    <t>WYKONANIE I MONTAŻ PREFABRYKATÓW BETONOWYCH SPRĘŻONYCH</t>
  </si>
  <si>
    <t>M-13.03.01.</t>
  </si>
  <si>
    <r>
      <t>Prefabrykowane belki typu "Kujan", L</t>
    </r>
    <r>
      <rPr>
        <vertAlign val="subscript"/>
        <sz val="10"/>
        <rFont val="Times New Roman"/>
        <family val="1"/>
        <charset val="238"/>
      </rPr>
      <t>t</t>
    </r>
    <r>
      <rPr>
        <sz val="10"/>
        <rFont val="Times New Roman"/>
        <family val="1"/>
        <charset val="238"/>
      </rPr>
      <t>=15m</t>
    </r>
  </si>
  <si>
    <t>szt</t>
  </si>
  <si>
    <t>M-13.03.08.</t>
  </si>
  <si>
    <t>PREFABRYKOWANE GZYMSY Z POLIMEROBETONU</t>
  </si>
  <si>
    <t>Belki gzymsowe polimerobetonowe o wysokości 600mm</t>
  </si>
  <si>
    <t>Izolacja bitumiczna elementów zasypanych podpór i skrzydeł</t>
  </si>
  <si>
    <t>Izolacja bitumiczna na płytach przejściowych</t>
  </si>
  <si>
    <t>Izolacja z papy termozgrzewalnej na płycie mostu</t>
  </si>
  <si>
    <t>Nawierzchnio-izolacja na górnych powierzchniach kap i gzymsów skrzydeł</t>
  </si>
  <si>
    <t>Powierzchniowe zabezpieczenie elementów betonowych odkrytych podpór i płyty</t>
  </si>
  <si>
    <t>ODWODNIENIE HYDROIZOLACJI ZA POMOCĄ SĄCZKÓW</t>
  </si>
  <si>
    <t>Wykonanie sączków z wierceniem otworu w istniejących belkach</t>
  </si>
  <si>
    <t>szt.</t>
  </si>
  <si>
    <t>M-16.01.03.</t>
  </si>
  <si>
    <t>M-16.01.04.</t>
  </si>
  <si>
    <t>DRENAŻ NA PŁYCIE POMOSTU</t>
  </si>
  <si>
    <t>Drenaż podłużny i poprzeczny na płycie pomostu</t>
  </si>
  <si>
    <t>M-18.00.00.</t>
  </si>
  <si>
    <t>URZĄDZENIA DYLATACYJNE</t>
  </si>
  <si>
    <t>M-18.01.04.</t>
  </si>
  <si>
    <t>Wykonanie uciąglenia nawierzchni</t>
  </si>
  <si>
    <t>M-19.01.01.</t>
  </si>
  <si>
    <t>KRAWĘŻNIKI KAMIENNE</t>
  </si>
  <si>
    <t>Krawężniki kamienne 180x200mm</t>
  </si>
  <si>
    <t>Krawężniki kamienne 230x200mm</t>
  </si>
  <si>
    <t>M-19.01.02.</t>
  </si>
  <si>
    <t>BARIERY OCHRONNE NA OBIEKTACH MOSTOWYCH</t>
  </si>
  <si>
    <t>Bariery ochronne H2 W2 B</t>
  </si>
  <si>
    <t>M-20.01.11.</t>
  </si>
  <si>
    <t>UMOCNIENIE SKARP I STOŻKÓW KOSTKĄ BETONOWĄ</t>
  </si>
  <si>
    <t>Rozbiórka i ponowne ułożenie istniejącego umocnienia z płyt betonowych</t>
  </si>
  <si>
    <t>Przepust P1</t>
  </si>
  <si>
    <t>Przepust P2</t>
  </si>
  <si>
    <t>Przepust P3</t>
  </si>
  <si>
    <t>Przepust P4</t>
  </si>
  <si>
    <t>Przepust P5</t>
  </si>
  <si>
    <t>Przepust P7</t>
  </si>
  <si>
    <t>Przepust P8</t>
  </si>
  <si>
    <t>Przepust P9</t>
  </si>
  <si>
    <t>Przepust P10</t>
  </si>
  <si>
    <t>Przepust P11</t>
  </si>
  <si>
    <t>Przepust P13</t>
  </si>
  <si>
    <t>Przepust P14</t>
  </si>
  <si>
    <t>Przepust P15</t>
  </si>
  <si>
    <t>Przepust P16</t>
  </si>
  <si>
    <t>Przepust P17</t>
  </si>
  <si>
    <t>Przepust P18</t>
  </si>
  <si>
    <t>Przepust P19</t>
  </si>
  <si>
    <t>Przepust P20</t>
  </si>
  <si>
    <t>Przepust P21</t>
  </si>
  <si>
    <t>Przepust P22</t>
  </si>
  <si>
    <t>Przepust P24</t>
  </si>
  <si>
    <t>Przepust P25</t>
  </si>
  <si>
    <t>Przepust P26</t>
  </si>
  <si>
    <t>Przepust P27</t>
  </si>
  <si>
    <t>Przepust P29</t>
  </si>
  <si>
    <t>Przepust P30</t>
  </si>
  <si>
    <t>Przepust P35</t>
  </si>
  <si>
    <t>Przepust P39</t>
  </si>
  <si>
    <t>Przepust P40</t>
  </si>
  <si>
    <t>Przepust P43</t>
  </si>
  <si>
    <t>Przepust P45</t>
  </si>
  <si>
    <t>Przepust P47</t>
  </si>
  <si>
    <t>Przepust P48</t>
  </si>
  <si>
    <t>Przepust P49</t>
  </si>
  <si>
    <t>Przepust P50</t>
  </si>
  <si>
    <t>Przepust P51</t>
  </si>
  <si>
    <t>Przepust P52</t>
  </si>
  <si>
    <t>Przepust P54</t>
  </si>
  <si>
    <t>Przepust P55</t>
  </si>
  <si>
    <t>Przepust P56</t>
  </si>
  <si>
    <t>Przepust P57</t>
  </si>
  <si>
    <t>Przepust P58</t>
  </si>
  <si>
    <t>Przepust P59</t>
  </si>
  <si>
    <t>Przepust PP28</t>
  </si>
  <si>
    <t>Przepust PP31</t>
  </si>
  <si>
    <t>Przepust PP32</t>
  </si>
  <si>
    <t>Przepust PP33</t>
  </si>
  <si>
    <t>Przepust PP38</t>
  </si>
  <si>
    <t>Przepust PP41</t>
  </si>
  <si>
    <t>Wykonanie przepustu z rury okrągłej zabezpieczonej antykorozyjnie wraz z wykonaniem fundamentu kruszywowego</t>
  </si>
  <si>
    <r>
      <t xml:space="preserve">Przepust P1 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</si>
  <si>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</si>
  <si>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</si>
  <si>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</si>
  <si>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1200</t>
    </r>
  </si>
  <si>
    <r>
      <t xml:space="preserve">Przepust P9 -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</si>
  <si>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</si>
  <si>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</si>
  <si>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P13 -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</si>
  <si>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</si>
  <si>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P15 -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</si>
  <si>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P16 -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</si>
  <si>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</si>
  <si>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</si>
  <si>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P19 -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</si>
  <si>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</si>
  <si>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P21 -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</si>
  <si>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P22 -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</si>
  <si>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</si>
  <si>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</si>
  <si>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P26 -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</si>
  <si>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P27 -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</si>
  <si>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t>M-20.03.02.</t>
  </si>
  <si>
    <t>Wykonanie przepustu z rury okrągłej GRP wraz z wykonaniem fundamentu kruszywowego</t>
  </si>
  <si>
    <r>
      <t xml:space="preserve">Przepust PP28 -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</si>
  <si>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P29 -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</si>
  <si>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P30 -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</si>
  <si>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PP31 -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</si>
  <si>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PP32 -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</si>
  <si>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PP33 -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</si>
  <si>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P35 -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</si>
  <si>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PP38 -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</si>
  <si>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>Przepust P39 -</t>
    </r>
    <r>
      <rPr>
        <sz val="10"/>
        <rFont val="Symbol"/>
        <family val="1"/>
        <charset val="2"/>
      </rPr>
      <t xml:space="preserve"> f</t>
    </r>
    <r>
      <rPr>
        <sz val="10"/>
        <rFont val="Times New Roman"/>
        <family val="1"/>
        <charset val="238"/>
      </rPr>
      <t>800</t>
    </r>
  </si>
  <si>
    <r>
      <t xml:space="preserve">Przepust P40 -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</si>
  <si>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PP41 -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1434</t>
    </r>
  </si>
  <si>
    <r>
      <t xml:space="preserve">Przepust P43 -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</si>
  <si>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P45 -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</si>
  <si>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P47 -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</si>
  <si>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P48 -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</si>
  <si>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P49 -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</si>
  <si>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P50 -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</si>
  <si>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P51 -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</si>
  <si>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P52 -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</si>
  <si>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P54 -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</si>
  <si>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P55 -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</si>
  <si>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P56 -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</si>
  <si>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P57 -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</si>
  <si>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P58 -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</si>
  <si>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r>
      <t xml:space="preserve">Przepust P59 -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800</t>
    </r>
  </si>
  <si>
    <t>Mur nr 2</t>
  </si>
  <si>
    <t>Montaż kotew talerzowych</t>
  </si>
  <si>
    <t>M-16.01.06.</t>
  </si>
  <si>
    <t>DRENY ODWADNIAJĄCE</t>
  </si>
  <si>
    <t>M-20.01.12.</t>
  </si>
  <si>
    <t>UMOCNIENIE SKARP I STOŻKÓW PRZYCZÓŁKOWYCH MATĄ PRZECIWEROZYJNĄ Z HUMUSOWANIEM I OBSIANIEM TRAWĄ</t>
  </si>
  <si>
    <t>PRZEPUSTY Z TWORZYW SZTUCZNYCH WZMACNIANYCH WŁÓKNEM SZKLANYM (GRP)</t>
  </si>
  <si>
    <t xml:space="preserve">Zasypanie wykopów powyżej poziomu posadowienia </t>
  </si>
  <si>
    <t>M-13.01.02.</t>
  </si>
  <si>
    <t>BETON FUNDAMENTÓW</t>
  </si>
  <si>
    <t>Cena</t>
  </si>
  <si>
    <t>PRZEKRYCIE DYLATACYJNE – „UCIĄGLENIE NAWIERZCHNI” POPRZEZ ZAZBROJENIE SIATKĄ Z TWORZYWA</t>
  </si>
  <si>
    <t>Jedn.
[PLN]</t>
  </si>
  <si>
    <t>Wartość
[PLN]</t>
  </si>
  <si>
    <t>Przebudowa mostu w m. Pełty w km 8+158,89</t>
  </si>
  <si>
    <t>Rozbiórka mostu i budowa przepustu w  m. Worławki w km 20+828,18</t>
  </si>
  <si>
    <t>Wykonanie umocnienia skarp stożka i skarpy na wylocie</t>
  </si>
  <si>
    <t>Przepust P6</t>
  </si>
  <si>
    <t xml:space="preserve">Przepust P+PP12 </t>
  </si>
  <si>
    <t xml:space="preserve">Przepust P+PP23 </t>
  </si>
  <si>
    <t>Przepust P+PP34</t>
  </si>
  <si>
    <t xml:space="preserve">Przepust P+PP36 </t>
  </si>
  <si>
    <t>Przepust P+PP42</t>
  </si>
  <si>
    <t xml:space="preserve">Przepust P44 </t>
  </si>
  <si>
    <t>Przepust P46</t>
  </si>
  <si>
    <t>Rozbiórka istniejących elementów obiektu mostowego w zakresie niezbędnym do wykonania robót wraz z oczyszczeniem i naprawą elmentów betonowych i utylizacją materiałów z rozbiórki</t>
  </si>
  <si>
    <r>
      <t xml:space="preserve">Przepust P2 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1000</t>
    </r>
  </si>
  <si>
    <r>
      <t xml:space="preserve">Przepust P3  -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  <charset val="238"/>
      </rPr>
      <t>1500</t>
    </r>
  </si>
  <si>
    <t>Zadanie 1: Rozbudowa drogi wojewódzkiej nr 512 na odcinku Pieniężno - Górowo Iławeckie</t>
  </si>
  <si>
    <t>Razem netto:</t>
  </si>
  <si>
    <t>S</t>
  </si>
  <si>
    <t>Rozbiórka mostu i budowa przepustu w m. Pluty w km 10+771,23</t>
  </si>
  <si>
    <t>KOSZTORYS OFERTOWY</t>
  </si>
  <si>
    <t>Przepusy z rur okrągłych</t>
  </si>
  <si>
    <t>Rozbiórka mostu i budowa przepustu w m. Górowo Ił. w km 26+050,91</t>
  </si>
  <si>
    <t>Rozbiórka wiaduktu kolejowego w m. Górowo Ił. w km 24+992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</si>
</sst>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9"/>
      <name val="Arial CE"/>
      <family val="2"/>
      <charset val="238"/>
    </font>
    <font>
      <sz val="10"/>
      <name val="Times New Roman"/>
      <family val="1"/>
      <charset val="238"/>
    </font>
    <font>
      <sz val="10"/>
      <color indexed="16"/>
      <name val="Arial"/>
      <family val="2"/>
      <charset val="238"/>
    </font>
    <font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31"/>
      </patternFill>
    </fill>
  </fills>
  <borders count="6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5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0" fontId="12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right" vertical="center" wrapText="1"/>
    </xf>
    <xf numFmtId="0" fontId="15" fillId="4" borderId="4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vertical="center" wrapText="1"/>
    </xf>
    <xf numFmtId="3" fontId="6" fillId="0" borderId="11" xfId="0" applyNumberFormat="1" applyFont="1" applyFill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6" fillId="0" borderId="11" xfId="0" applyNumberFormat="1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 wrapText="1"/>
    </xf>
    <xf numFmtId="0" fontId="14" fillId="0" borderId="30" xfId="0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right" vertical="center" wrapText="1"/>
    </xf>
    <xf numFmtId="0" fontId="13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35" xfId="0" applyFont="1" applyFill="1" applyBorder="1" applyAlignment="1">
      <alignment vertical="center" wrapText="1"/>
    </xf>
    <xf numFmtId="0" fontId="14" fillId="0" borderId="35" xfId="0" applyFont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right" vertical="center" wrapText="1"/>
    </xf>
    <xf numFmtId="164" fontId="14" fillId="0" borderId="27" xfId="0" applyNumberFormat="1" applyFont="1" applyFill="1" applyBorder="1" applyAlignment="1">
      <alignment horizontal="right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32" xfId="0" applyFont="1" applyFill="1" applyBorder="1" applyAlignment="1">
      <alignment vertical="center" wrapText="1"/>
    </xf>
    <xf numFmtId="0" fontId="11" fillId="3" borderId="33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40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3" fontId="6" fillId="0" borderId="43" xfId="0" applyNumberFormat="1" applyFont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right" vertical="center" wrapText="1"/>
    </xf>
    <xf numFmtId="0" fontId="14" fillId="4" borderId="5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vertical="center" wrapText="1"/>
    </xf>
    <xf numFmtId="0" fontId="12" fillId="3" borderId="48" xfId="0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horizontal="center" vertical="center"/>
    </xf>
    <xf numFmtId="0" fontId="11" fillId="3" borderId="49" xfId="0" applyFont="1" applyFill="1" applyBorder="1" applyAlignment="1">
      <alignment horizontal="center" vertical="center" wrapText="1"/>
    </xf>
    <xf numFmtId="0" fontId="11" fillId="3" borderId="49" xfId="0" applyFont="1" applyFill="1" applyBorder="1" applyAlignment="1">
      <alignment vertical="center" wrapText="1"/>
    </xf>
    <xf numFmtId="0" fontId="11" fillId="3" borderId="50" xfId="0" applyFont="1" applyFill="1" applyBorder="1" applyAlignment="1">
      <alignment vertical="center" wrapText="1"/>
    </xf>
    <xf numFmtId="0" fontId="14" fillId="0" borderId="30" xfId="0" applyFont="1" applyFill="1" applyBorder="1" applyAlignment="1">
      <alignment vertical="center" wrapText="1"/>
    </xf>
    <xf numFmtId="164" fontId="14" fillId="0" borderId="31" xfId="0" applyNumberFormat="1" applyFont="1" applyFill="1" applyBorder="1" applyAlignment="1">
      <alignment horizontal="right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3" fontId="6" fillId="0" borderId="5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14" fillId="0" borderId="34" xfId="0" applyNumberFormat="1" applyFont="1" applyFill="1" applyBorder="1" applyAlignment="1">
      <alignment horizontal="right" vertical="center" wrapText="1"/>
    </xf>
    <xf numFmtId="164" fontId="14" fillId="0" borderId="54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5" fillId="0" borderId="56" xfId="0" applyFont="1" applyBorder="1" applyAlignment="1">
      <alignment vertical="center"/>
    </xf>
    <xf numFmtId="0" fontId="5" fillId="0" borderId="56" xfId="0" applyFont="1" applyBorder="1" applyAlignment="1">
      <alignment horizontal="center" vertical="center"/>
    </xf>
    <xf numFmtId="164" fontId="6" fillId="0" borderId="55" xfId="0" applyNumberFormat="1" applyFont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4" fontId="14" fillId="0" borderId="27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4" fontId="20" fillId="0" borderId="44" xfId="0" applyNumberFormat="1" applyFont="1" applyBorder="1" applyAlignment="1">
      <alignment horizontal="center" vertical="center"/>
    </xf>
    <xf numFmtId="4" fontId="20" fillId="0" borderId="45" xfId="0" applyNumberFormat="1" applyFont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2" borderId="17" xfId="0" applyNumberFormat="1" applyFont="1" applyFill="1" applyBorder="1" applyAlignment="1">
      <alignment horizontal="center" vertical="center" wrapText="1"/>
    </xf>
    <xf numFmtId="164" fontId="11" fillId="2" borderId="19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20" fillId="0" borderId="46" xfId="0" applyNumberFormat="1" applyFont="1" applyBorder="1" applyAlignment="1">
      <alignment horizontal="center" vertical="center"/>
    </xf>
    <xf numFmtId="4" fontId="20" fillId="0" borderId="47" xfId="0" applyNumberFormat="1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wrapText="1"/>
    </xf>
    <xf numFmtId="0" fontId="5" fillId="0" borderId="58" xfId="0" applyFont="1" applyFill="1" applyBorder="1" applyAlignment="1">
      <alignment vertical="center"/>
    </xf>
    <xf numFmtId="0" fontId="13" fillId="0" borderId="25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 wrapText="1"/>
    </xf>
    <xf numFmtId="0" fontId="14" fillId="0" borderId="59" xfId="0" applyFont="1" applyFill="1" applyBorder="1" applyAlignment="1">
      <alignment vertical="center" wrapText="1"/>
    </xf>
    <xf numFmtId="0" fontId="14" fillId="0" borderId="59" xfId="0" applyFont="1" applyFill="1" applyBorder="1" applyAlignment="1">
      <alignment horizontal="center" vertical="center" wrapText="1"/>
    </xf>
    <xf numFmtId="164" fontId="6" fillId="0" borderId="54" xfId="0" applyNumberFormat="1" applyFont="1" applyFill="1" applyBorder="1" applyAlignment="1">
      <alignment horizontal="right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4" fontId="14" fillId="0" borderId="54" xfId="0" applyNumberFormat="1" applyFont="1" applyFill="1" applyBorder="1" applyAlignment="1">
      <alignment horizontal="right" vertical="center" wrapText="1"/>
    </xf>
    <xf numFmtId="4" fontId="6" fillId="0" borderId="54" xfId="0" applyNumberFormat="1" applyFont="1" applyFill="1" applyBorder="1" applyAlignment="1">
      <alignment horizontal="right" vertical="center" wrapText="1"/>
    </xf>
    <xf numFmtId="0" fontId="11" fillId="3" borderId="8" xfId="0" applyFont="1" applyFill="1" applyBorder="1" applyAlignment="1">
      <alignment vertical="center" wrapText="1"/>
    </xf>
    <xf numFmtId="0" fontId="11" fillId="3" borderId="62" xfId="0" applyFont="1" applyFill="1" applyBorder="1" applyAlignment="1">
      <alignment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3" fontId="6" fillId="0" borderId="65" xfId="0" applyNumberFormat="1" applyFont="1" applyBorder="1" applyAlignment="1">
      <alignment horizontal="center"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  <cellStyle name="Normalny 4" xfId="4" xr:uid="{00000000-0005-0000-0000-000004000000}"/>
  </cellStyles>
  <dxfs count="0"/>
  <tableStyles count="0" defaultTableStyle="TableStyleMedium9" defaultPivotStyle="PivotStyleLight16"/>
  <colors>
    <mruColors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87"/>
  <sheetViews>
    <sheetView tabSelected="1" view="pageBreakPreview" zoomScaleNormal="100" zoomScaleSheetLayoutView="100" workbookViewId="0">
      <selection sqref="A1:H1"/>
    </sheetView>
  </sheetViews>
  <sheetFormatPr defaultRowHeight="12.75" x14ac:dyDescent="0.2"/>
  <cols>
    <col min="1" max="1" width="4.42578125" style="1" bestFit="1" customWidth="1"/>
    <col min="2" max="2" width="9.28515625" style="2" bestFit="1" customWidth="1"/>
    <col min="3" max="3" width="12.7109375" style="2" customWidth="1"/>
    <col min="4" max="4" width="60.7109375" style="2" customWidth="1"/>
    <col min="5" max="5" width="7.42578125" style="7" bestFit="1" customWidth="1"/>
    <col min="6" max="6" width="6.85546875" style="3" bestFit="1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customHeight="1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305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8"/>
      <c r="B8" s="123"/>
      <c r="C8" s="132"/>
      <c r="D8" s="132"/>
      <c r="E8" s="123"/>
      <c r="F8" s="125"/>
      <c r="G8" s="123"/>
      <c r="H8" s="125"/>
    </row>
    <row r="9" spans="1:8" ht="13.5" thickBot="1" x14ac:dyDescent="0.25">
      <c r="A9" s="80">
        <v>1</v>
      </c>
      <c r="B9" s="81">
        <v>2</v>
      </c>
      <c r="C9" s="81">
        <v>3</v>
      </c>
      <c r="D9" s="81">
        <v>4</v>
      </c>
      <c r="E9" s="81">
        <v>5</v>
      </c>
      <c r="F9" s="82">
        <v>6</v>
      </c>
      <c r="G9" s="81">
        <v>7</v>
      </c>
      <c r="H9" s="82">
        <v>8</v>
      </c>
    </row>
    <row r="10" spans="1:8" s="10" customFormat="1" ht="15.75" customHeight="1" x14ac:dyDescent="0.2">
      <c r="A10" s="77" t="str">
        <f>IF(C10=0,MAX(#REF!)+1," ")</f>
        <v xml:space="preserve"> </v>
      </c>
      <c r="B10" s="78"/>
      <c r="C10" s="79" t="s">
        <v>150</v>
      </c>
      <c r="D10" s="74" t="s">
        <v>321</v>
      </c>
      <c r="E10" s="75"/>
      <c r="F10" s="76"/>
      <c r="G10" s="75"/>
      <c r="H10" s="76"/>
    </row>
    <row r="11" spans="1:8" ht="12.75" customHeight="1" x14ac:dyDescent="0.2">
      <c r="A11" s="15" t="str">
        <f>IF(C11=0,MAX($A10:A$16)+1," ")</f>
        <v xml:space="preserve"> </v>
      </c>
      <c r="B11" s="16"/>
      <c r="C11" s="17" t="s">
        <v>151</v>
      </c>
      <c r="D11" s="64" t="s">
        <v>152</v>
      </c>
      <c r="E11" s="64"/>
      <c r="F11" s="100"/>
      <c r="G11" s="64"/>
      <c r="H11" s="65"/>
    </row>
    <row r="12" spans="1:8" ht="24.75" customHeight="1" x14ac:dyDescent="0.2">
      <c r="A12" s="28" t="str">
        <f>IF(C12=0,MAX($A11:A$16)+1," ")</f>
        <v xml:space="preserve"> </v>
      </c>
      <c r="B12" s="29" t="s">
        <v>7</v>
      </c>
      <c r="C12" s="30" t="s">
        <v>153</v>
      </c>
      <c r="D12" s="66" t="s">
        <v>154</v>
      </c>
      <c r="E12" s="66"/>
      <c r="F12" s="101"/>
      <c r="G12" s="66"/>
      <c r="H12" s="67"/>
    </row>
    <row r="13" spans="1:8" x14ac:dyDescent="0.2">
      <c r="A13" s="23">
        <v>1</v>
      </c>
      <c r="B13" s="24"/>
      <c r="C13" s="25"/>
      <c r="D13" s="26" t="s">
        <v>155</v>
      </c>
      <c r="E13" s="25" t="s">
        <v>110</v>
      </c>
      <c r="F13" s="102">
        <f>6.7*15.1</f>
        <v>101.17</v>
      </c>
      <c r="G13" s="25"/>
      <c r="H13" s="27"/>
    </row>
    <row r="14" spans="1:8" ht="27" customHeight="1" x14ac:dyDescent="0.2">
      <c r="A14" s="28" t="str">
        <f>IF(C14=0,MAX($A14:A$16)+1," ")</f>
        <v xml:space="preserve"> </v>
      </c>
      <c r="B14" s="29" t="s">
        <v>7</v>
      </c>
      <c r="C14" s="30" t="s">
        <v>156</v>
      </c>
      <c r="D14" s="66" t="s">
        <v>157</v>
      </c>
      <c r="E14" s="66"/>
      <c r="F14" s="101"/>
      <c r="G14" s="66"/>
      <c r="H14" s="67"/>
    </row>
    <row r="15" spans="1:8" x14ac:dyDescent="0.2">
      <c r="A15" s="23">
        <f>IF(C15=0,MAX($A12:A$13)+1," ")</f>
        <v>2</v>
      </c>
      <c r="B15" s="24"/>
      <c r="C15" s="25"/>
      <c r="D15" s="26" t="s">
        <v>158</v>
      </c>
      <c r="E15" s="25" t="s">
        <v>110</v>
      </c>
      <c r="F15" s="102">
        <f>6.7*15.1</f>
        <v>101.17</v>
      </c>
      <c r="G15" s="25"/>
      <c r="H15" s="27"/>
    </row>
    <row r="16" spans="1:8" s="10" customFormat="1" ht="15.75" customHeight="1" x14ac:dyDescent="0.2">
      <c r="A16" s="12" t="str">
        <f>IF(C16=0,MAX(#REF!)+1," ")</f>
        <v xml:space="preserve"> </v>
      </c>
      <c r="B16" s="13"/>
      <c r="C16" s="14" t="s">
        <v>10</v>
      </c>
      <c r="D16" s="62" t="s">
        <v>11</v>
      </c>
      <c r="E16" s="62"/>
      <c r="F16" s="103"/>
      <c r="G16" s="62"/>
      <c r="H16" s="63"/>
    </row>
    <row r="17" spans="1:8" ht="12.75" customHeight="1" x14ac:dyDescent="0.2">
      <c r="A17" s="15" t="str">
        <f>IF(C17=0,MAX($A$16:A16)+1," ")</f>
        <v xml:space="preserve"> </v>
      </c>
      <c r="B17" s="16"/>
      <c r="C17" s="17" t="s">
        <v>15</v>
      </c>
      <c r="D17" s="64" t="s">
        <v>13</v>
      </c>
      <c r="E17" s="64"/>
      <c r="F17" s="100"/>
      <c r="G17" s="64"/>
      <c r="H17" s="65"/>
    </row>
    <row r="18" spans="1:8" ht="12.75" customHeight="1" x14ac:dyDescent="0.2">
      <c r="A18" s="28" t="str">
        <f>IF(C18=0,MAX($A$16:A17)+1," ")</f>
        <v xml:space="preserve"> </v>
      </c>
      <c r="B18" s="29" t="s">
        <v>7</v>
      </c>
      <c r="C18" s="30" t="s">
        <v>12</v>
      </c>
      <c r="D18" s="66" t="s">
        <v>19</v>
      </c>
      <c r="E18" s="66"/>
      <c r="F18" s="101"/>
      <c r="G18" s="66"/>
      <c r="H18" s="67"/>
    </row>
    <row r="19" spans="1:8" ht="15.75" x14ac:dyDescent="0.2">
      <c r="A19" s="23">
        <f>IF(C19=0,MAX($A$11:A15)+1," ")</f>
        <v>3</v>
      </c>
      <c r="B19" s="24"/>
      <c r="C19" s="25"/>
      <c r="D19" s="26" t="s">
        <v>16</v>
      </c>
      <c r="E19" s="25" t="s">
        <v>21</v>
      </c>
      <c r="F19" s="102">
        <f>3.8*9.5*2</f>
        <v>72.2</v>
      </c>
      <c r="G19" s="25"/>
      <c r="H19" s="27"/>
    </row>
    <row r="20" spans="1:8" ht="12.75" customHeight="1" x14ac:dyDescent="0.2">
      <c r="A20" s="28" t="str">
        <f>IF(C20=0,MAX($A$16:A17)+1," ")</f>
        <v xml:space="preserve"> </v>
      </c>
      <c r="B20" s="29" t="s">
        <v>7</v>
      </c>
      <c r="C20" s="30" t="s">
        <v>55</v>
      </c>
      <c r="D20" s="66" t="s">
        <v>56</v>
      </c>
      <c r="E20" s="66"/>
      <c r="F20" s="101"/>
      <c r="G20" s="66"/>
      <c r="H20" s="67"/>
    </row>
    <row r="21" spans="1:8" ht="15.75" x14ac:dyDescent="0.2">
      <c r="A21" s="23">
        <f>IF(C21=0,MAX($A$16:A19)+1," ")</f>
        <v>4</v>
      </c>
      <c r="B21" s="24"/>
      <c r="C21" s="25"/>
      <c r="D21" s="26" t="s">
        <v>298</v>
      </c>
      <c r="E21" s="25" t="s">
        <v>21</v>
      </c>
      <c r="F21" s="102">
        <f>3.2*9.5*2</f>
        <v>60.800000000000004</v>
      </c>
      <c r="G21" s="25"/>
      <c r="H21" s="27"/>
    </row>
    <row r="22" spans="1:8" s="10" customFormat="1" ht="15.75" customHeight="1" x14ac:dyDescent="0.2">
      <c r="A22" s="12" t="str">
        <f>IF(C22=0,MAX(#REF!)+1," ")</f>
        <v xml:space="preserve"> </v>
      </c>
      <c r="B22" s="13"/>
      <c r="C22" s="14" t="s">
        <v>58</v>
      </c>
      <c r="D22" s="62" t="s">
        <v>59</v>
      </c>
      <c r="E22" s="62"/>
      <c r="F22" s="103"/>
      <c r="G22" s="62"/>
      <c r="H22" s="63"/>
    </row>
    <row r="23" spans="1:8" ht="12.75" customHeight="1" x14ac:dyDescent="0.2">
      <c r="A23" s="15" t="str">
        <f>IF(C23=0,MAX($A$16:A22)+1," ")</f>
        <v xml:space="preserve"> </v>
      </c>
      <c r="B23" s="16"/>
      <c r="C23" s="17" t="s">
        <v>60</v>
      </c>
      <c r="D23" s="64" t="s">
        <v>61</v>
      </c>
      <c r="E23" s="64"/>
      <c r="F23" s="100"/>
      <c r="G23" s="64"/>
      <c r="H23" s="65"/>
    </row>
    <row r="24" spans="1:8" ht="12.75" customHeight="1" x14ac:dyDescent="0.2">
      <c r="A24" s="28" t="str">
        <f>IF(C24=0,MAX($A$16:A23)+1," ")</f>
        <v xml:space="preserve"> </v>
      </c>
      <c r="B24" s="29" t="s">
        <v>66</v>
      </c>
      <c r="C24" s="30" t="s">
        <v>63</v>
      </c>
      <c r="D24" s="66" t="s">
        <v>62</v>
      </c>
      <c r="E24" s="66"/>
      <c r="F24" s="101"/>
      <c r="G24" s="66"/>
      <c r="H24" s="67"/>
    </row>
    <row r="25" spans="1:8" x14ac:dyDescent="0.2">
      <c r="A25" s="23">
        <f>IF(C25=0,MAX($A$16:A23)+1," ")</f>
        <v>5</v>
      </c>
      <c r="B25" s="24"/>
      <c r="C25" s="25"/>
      <c r="D25" s="26" t="s">
        <v>64</v>
      </c>
      <c r="E25" s="25" t="s">
        <v>65</v>
      </c>
      <c r="F25" s="102">
        <f>1890.4+1755.7+719.3</f>
        <v>4365.4000000000005</v>
      </c>
      <c r="G25" s="25"/>
      <c r="H25" s="27"/>
    </row>
    <row r="26" spans="1:8" s="10" customFormat="1" ht="15.75" x14ac:dyDescent="0.2">
      <c r="A26" s="12" t="str">
        <f>IF(C26=0,MAX(#REF!)+1," ")</f>
        <v xml:space="preserve"> </v>
      </c>
      <c r="B26" s="13"/>
      <c r="C26" s="14" t="s">
        <v>67</v>
      </c>
      <c r="D26" s="62" t="s">
        <v>68</v>
      </c>
      <c r="E26" s="62"/>
      <c r="F26" s="103"/>
      <c r="G26" s="62"/>
      <c r="H26" s="63"/>
    </row>
    <row r="27" spans="1:8" ht="12.75" customHeight="1" x14ac:dyDescent="0.2">
      <c r="A27" s="15" t="str">
        <f>IF(C27=0,MAX($A$16:A26)+1," ")</f>
        <v xml:space="preserve"> </v>
      </c>
      <c r="B27" s="16"/>
      <c r="C27" s="17" t="s">
        <v>69</v>
      </c>
      <c r="D27" s="64" t="s">
        <v>70</v>
      </c>
      <c r="E27" s="64"/>
      <c r="F27" s="100"/>
      <c r="G27" s="64"/>
      <c r="H27" s="65"/>
    </row>
    <row r="28" spans="1:8" ht="12.75" customHeight="1" x14ac:dyDescent="0.2">
      <c r="A28" s="28" t="str">
        <f>IF(C28=0,MAX($A$16:A25)+1," ")</f>
        <v xml:space="preserve"> </v>
      </c>
      <c r="B28" s="29" t="s">
        <v>66</v>
      </c>
      <c r="C28" s="30" t="s">
        <v>71</v>
      </c>
      <c r="D28" s="66" t="s">
        <v>300</v>
      </c>
      <c r="E28" s="66"/>
      <c r="F28" s="101"/>
      <c r="G28" s="66"/>
      <c r="H28" s="67"/>
    </row>
    <row r="29" spans="1:8" x14ac:dyDescent="0.2">
      <c r="A29" s="23">
        <f>IF(C29=0,MAX($A$16:A25)+1," ")</f>
        <v>6</v>
      </c>
      <c r="B29" s="24"/>
      <c r="C29" s="25"/>
      <c r="D29" s="26" t="s">
        <v>72</v>
      </c>
      <c r="E29" s="25" t="s">
        <v>73</v>
      </c>
      <c r="F29" s="104">
        <f>(0.5+0.4)*4.7*2</f>
        <v>8.4600000000000009</v>
      </c>
      <c r="G29" s="25"/>
      <c r="H29" s="41"/>
    </row>
    <row r="30" spans="1:8" ht="12.75" customHeight="1" x14ac:dyDescent="0.2">
      <c r="A30" s="28" t="str">
        <f>IF(C30=0,MAX($A$16:A27)+1," ")</f>
        <v xml:space="preserve"> </v>
      </c>
      <c r="B30" s="29" t="s">
        <v>66</v>
      </c>
      <c r="C30" s="30" t="s">
        <v>299</v>
      </c>
      <c r="D30" s="66" t="s">
        <v>95</v>
      </c>
      <c r="E30" s="66"/>
      <c r="F30" s="101"/>
      <c r="G30" s="66"/>
      <c r="H30" s="67"/>
    </row>
    <row r="31" spans="1:8" x14ac:dyDescent="0.2">
      <c r="A31" s="23">
        <f>IF(C31=0,MAX($A$16:A29)+1," ")</f>
        <v>7</v>
      </c>
      <c r="B31" s="24"/>
      <c r="C31" s="25"/>
      <c r="D31" s="26" t="s">
        <v>145</v>
      </c>
      <c r="E31" s="25" t="s">
        <v>73</v>
      </c>
      <c r="F31" s="104">
        <f>(0.5+0.4)*4.7*2</f>
        <v>8.4600000000000009</v>
      </c>
      <c r="G31" s="25"/>
      <c r="H31" s="41"/>
    </row>
    <row r="32" spans="1:8" ht="12.75" customHeight="1" x14ac:dyDescent="0.2">
      <c r="A32" s="28" t="str">
        <f>IF(C32=0,MAX($A$16:A27)+1," ")</f>
        <v xml:space="preserve"> </v>
      </c>
      <c r="B32" s="29" t="s">
        <v>66</v>
      </c>
      <c r="C32" s="30" t="s">
        <v>75</v>
      </c>
      <c r="D32" s="66" t="s">
        <v>76</v>
      </c>
      <c r="E32" s="66"/>
      <c r="F32" s="101"/>
      <c r="G32" s="66"/>
      <c r="H32" s="67"/>
    </row>
    <row r="33" spans="1:8" x14ac:dyDescent="0.2">
      <c r="A33" s="23">
        <f>IF(C33=0,MAX($A$16:A31)+1," ")</f>
        <v>8</v>
      </c>
      <c r="B33" s="24"/>
      <c r="C33" s="25"/>
      <c r="D33" s="26" t="s">
        <v>146</v>
      </c>
      <c r="E33" s="25" t="s">
        <v>73</v>
      </c>
      <c r="F33" s="104">
        <f>0.45*15.1*2</f>
        <v>13.59</v>
      </c>
      <c r="G33" s="25"/>
      <c r="H33" s="41"/>
    </row>
    <row r="34" spans="1:8" ht="12.75" customHeight="1" x14ac:dyDescent="0.2">
      <c r="A34" s="28" t="str">
        <f>IF(C34=0,MAX($A$16:A33)+1," ")</f>
        <v xml:space="preserve"> </v>
      </c>
      <c r="B34" s="29" t="s">
        <v>66</v>
      </c>
      <c r="C34" s="30" t="s">
        <v>147</v>
      </c>
      <c r="D34" s="66" t="s">
        <v>148</v>
      </c>
      <c r="E34" s="66"/>
      <c r="F34" s="101"/>
      <c r="G34" s="66"/>
      <c r="H34" s="67"/>
    </row>
    <row r="35" spans="1:8" x14ac:dyDescent="0.2">
      <c r="A35" s="23">
        <f>IF(C35=0,MAX($A$16:A33)+1," ")</f>
        <v>9</v>
      </c>
      <c r="B35" s="24"/>
      <c r="C35" s="25"/>
      <c r="D35" s="26" t="s">
        <v>149</v>
      </c>
      <c r="E35" s="25" t="s">
        <v>73</v>
      </c>
      <c r="F35" s="104">
        <f>(0.46+0.29)*15.1</f>
        <v>11.324999999999999</v>
      </c>
      <c r="G35" s="25"/>
      <c r="H35" s="41"/>
    </row>
    <row r="36" spans="1:8" x14ac:dyDescent="0.2">
      <c r="A36" s="23">
        <f>IF(C36=0,MAX($A$16:A35)+1," ")</f>
        <v>10</v>
      </c>
      <c r="B36" s="24"/>
      <c r="C36" s="25"/>
      <c r="D36" s="26" t="s">
        <v>292</v>
      </c>
      <c r="E36" s="25" t="s">
        <v>173</v>
      </c>
      <c r="F36" s="105">
        <v>44</v>
      </c>
      <c r="G36" s="25"/>
      <c r="H36" s="35"/>
    </row>
    <row r="37" spans="1:8" ht="12.75" customHeight="1" x14ac:dyDescent="0.2">
      <c r="A37" s="15" t="str">
        <f>IF(C37=0,MAX($A$16:A35)+1," ")</f>
        <v xml:space="preserve"> </v>
      </c>
      <c r="B37" s="16"/>
      <c r="C37" s="17" t="s">
        <v>86</v>
      </c>
      <c r="D37" s="64" t="s">
        <v>85</v>
      </c>
      <c r="E37" s="64"/>
      <c r="F37" s="100"/>
      <c r="G37" s="64"/>
      <c r="H37" s="65"/>
    </row>
    <row r="38" spans="1:8" ht="12.75" customHeight="1" x14ac:dyDescent="0.2">
      <c r="A38" s="28" t="str">
        <f>IF(C38=0,MAX($A$16:A37)+1," ")</f>
        <v xml:space="preserve"> </v>
      </c>
      <c r="B38" s="29" t="s">
        <v>66</v>
      </c>
      <c r="C38" s="30" t="s">
        <v>160</v>
      </c>
      <c r="D38" s="66" t="s">
        <v>159</v>
      </c>
      <c r="E38" s="66"/>
      <c r="F38" s="101"/>
      <c r="G38" s="66"/>
      <c r="H38" s="67"/>
    </row>
    <row r="39" spans="1:8" ht="14.25" x14ac:dyDescent="0.2">
      <c r="A39" s="23">
        <f>IF(C39=0,MAX($A$16:A37)+1," ")</f>
        <v>11</v>
      </c>
      <c r="B39" s="24"/>
      <c r="C39" s="25"/>
      <c r="D39" s="26" t="s">
        <v>161</v>
      </c>
      <c r="E39" s="25" t="s">
        <v>162</v>
      </c>
      <c r="F39" s="105">
        <v>2</v>
      </c>
      <c r="G39" s="25"/>
      <c r="H39" s="35"/>
    </row>
    <row r="40" spans="1:8" ht="12.75" customHeight="1" x14ac:dyDescent="0.2">
      <c r="A40" s="28" t="str">
        <f>IF(C40=0,MAX($A$16:A39)+1," ")</f>
        <v xml:space="preserve"> </v>
      </c>
      <c r="B40" s="29" t="s">
        <v>66</v>
      </c>
      <c r="C40" s="30" t="s">
        <v>163</v>
      </c>
      <c r="D40" s="66" t="s">
        <v>164</v>
      </c>
      <c r="E40" s="66"/>
      <c r="F40" s="101"/>
      <c r="G40" s="66"/>
      <c r="H40" s="67"/>
    </row>
    <row r="41" spans="1:8" ht="18" customHeight="1" x14ac:dyDescent="0.2">
      <c r="A41" s="23">
        <f>IF(C41=0,MAX($A$16:A39)+1," ")</f>
        <v>12</v>
      </c>
      <c r="B41" s="24"/>
      <c r="C41" s="25"/>
      <c r="D41" s="26" t="s">
        <v>165</v>
      </c>
      <c r="E41" s="25" t="s">
        <v>8</v>
      </c>
      <c r="F41" s="104">
        <v>50</v>
      </c>
      <c r="G41" s="25"/>
      <c r="H41" s="41"/>
    </row>
    <row r="42" spans="1:8" s="10" customFormat="1" ht="15.75" customHeight="1" x14ac:dyDescent="0.2">
      <c r="A42" s="12" t="str">
        <f>IF(C42=0,MAX(#REF!)+1," ")</f>
        <v xml:space="preserve"> </v>
      </c>
      <c r="B42" s="13"/>
      <c r="C42" s="14" t="s">
        <v>90</v>
      </c>
      <c r="D42" s="62" t="s">
        <v>91</v>
      </c>
      <c r="E42" s="62"/>
      <c r="F42" s="103"/>
      <c r="G42" s="62"/>
      <c r="H42" s="63"/>
    </row>
    <row r="43" spans="1:8" ht="12.75" customHeight="1" x14ac:dyDescent="0.2">
      <c r="A43" s="15" t="str">
        <f>IF(C43=0,MAX($A$16:A42)+1," ")</f>
        <v xml:space="preserve"> </v>
      </c>
      <c r="B43" s="16"/>
      <c r="C43" s="17" t="s">
        <v>92</v>
      </c>
      <c r="D43" s="64" t="s">
        <v>93</v>
      </c>
      <c r="E43" s="64"/>
      <c r="F43" s="100"/>
      <c r="G43" s="64"/>
      <c r="H43" s="65"/>
    </row>
    <row r="44" spans="1:8" ht="12.75" customHeight="1" x14ac:dyDescent="0.2">
      <c r="A44" s="28" t="str">
        <f>IF(C44=0,MAX($A$16:A43)+1," ")</f>
        <v xml:space="preserve"> </v>
      </c>
      <c r="B44" s="29" t="s">
        <v>66</v>
      </c>
      <c r="C44" s="30" t="s">
        <v>98</v>
      </c>
      <c r="D44" s="66" t="s">
        <v>97</v>
      </c>
      <c r="E44" s="66"/>
      <c r="F44" s="101"/>
      <c r="G44" s="66"/>
      <c r="H44" s="67"/>
    </row>
    <row r="45" spans="1:8" ht="18.75" customHeight="1" x14ac:dyDescent="0.2">
      <c r="A45" s="23">
        <f>IF(C45=0,MAX($A$16:A43)+1," ")</f>
        <v>13</v>
      </c>
      <c r="B45" s="24"/>
      <c r="C45" s="25"/>
      <c r="D45" s="26" t="s">
        <v>166</v>
      </c>
      <c r="E45" s="25" t="s">
        <v>110</v>
      </c>
      <c r="F45" s="104">
        <f>7*4</f>
        <v>28</v>
      </c>
      <c r="G45" s="25"/>
      <c r="H45" s="41"/>
    </row>
    <row r="46" spans="1:8" ht="18.75" customHeight="1" x14ac:dyDescent="0.2">
      <c r="A46" s="23">
        <f>IF(C46=0,MAX($A$16:A45)+1," ")</f>
        <v>14</v>
      </c>
      <c r="B46" s="24"/>
      <c r="C46" s="25"/>
      <c r="D46" s="26" t="s">
        <v>167</v>
      </c>
      <c r="E46" s="25" t="s">
        <v>110</v>
      </c>
      <c r="F46" s="104">
        <f>4*8.6*2</f>
        <v>68.8</v>
      </c>
      <c r="G46" s="25"/>
      <c r="H46" s="41"/>
    </row>
    <row r="47" spans="1:8" ht="12.75" customHeight="1" x14ac:dyDescent="0.2">
      <c r="A47" s="15" t="str">
        <f>IF(C47=0,MAX($A$16:A45)+1," ")</f>
        <v xml:space="preserve"> </v>
      </c>
      <c r="B47" s="16"/>
      <c r="C47" s="17" t="s">
        <v>100</v>
      </c>
      <c r="D47" s="64" t="s">
        <v>101</v>
      </c>
      <c r="E47" s="64"/>
      <c r="F47" s="100"/>
      <c r="G47" s="64"/>
      <c r="H47" s="65"/>
    </row>
    <row r="48" spans="1:8" ht="12.75" customHeight="1" x14ac:dyDescent="0.2">
      <c r="A48" s="28" t="str">
        <f>IF(C48=0,MAX($A$16:A47)+1," ")</f>
        <v xml:space="preserve"> </v>
      </c>
      <c r="B48" s="29" t="s">
        <v>66</v>
      </c>
      <c r="C48" s="30" t="s">
        <v>104</v>
      </c>
      <c r="D48" s="66" t="s">
        <v>102</v>
      </c>
      <c r="E48" s="66"/>
      <c r="F48" s="101"/>
      <c r="G48" s="66"/>
      <c r="H48" s="67"/>
    </row>
    <row r="49" spans="1:8" ht="14.25" customHeight="1" x14ac:dyDescent="0.2">
      <c r="A49" s="23">
        <f>IF(C49=0,MAX($A$16:A47)+1," ")</f>
        <v>15</v>
      </c>
      <c r="B49" s="24"/>
      <c r="C49" s="25"/>
      <c r="D49" s="26" t="s">
        <v>168</v>
      </c>
      <c r="E49" s="25" t="s">
        <v>110</v>
      </c>
      <c r="F49" s="104">
        <f>10.3*15.5</f>
        <v>159.65</v>
      </c>
      <c r="G49" s="25"/>
      <c r="H49" s="41"/>
    </row>
    <row r="50" spans="1:8" ht="12.75" customHeight="1" x14ac:dyDescent="0.2">
      <c r="A50" s="15" t="str">
        <f>IF(C50=0,MAX($A$16:A49)+1," ")</f>
        <v xml:space="preserve"> </v>
      </c>
      <c r="B50" s="16"/>
      <c r="C50" s="17" t="s">
        <v>105</v>
      </c>
      <c r="D50" s="64" t="s">
        <v>106</v>
      </c>
      <c r="E50" s="64"/>
      <c r="F50" s="100"/>
      <c r="G50" s="64"/>
      <c r="H50" s="65"/>
    </row>
    <row r="51" spans="1:8" ht="12.75" customHeight="1" x14ac:dyDescent="0.2">
      <c r="A51" s="28" t="str">
        <f>IF(C51=0,MAX($A$16:A50)+1," ")</f>
        <v xml:space="preserve"> </v>
      </c>
      <c r="B51" s="29" t="s">
        <v>66</v>
      </c>
      <c r="C51" s="30" t="s">
        <v>108</v>
      </c>
      <c r="D51" s="66" t="s">
        <v>107</v>
      </c>
      <c r="E51" s="66"/>
      <c r="F51" s="101"/>
      <c r="G51" s="66"/>
      <c r="H51" s="67"/>
    </row>
    <row r="52" spans="1:8" ht="15" customHeight="1" x14ac:dyDescent="0.2">
      <c r="A52" s="23">
        <f>IF(C52=0,MAX($A$16:A50)+1," ")</f>
        <v>16</v>
      </c>
      <c r="B52" s="24"/>
      <c r="C52" s="25"/>
      <c r="D52" s="26" t="s">
        <v>169</v>
      </c>
      <c r="E52" s="25" t="s">
        <v>110</v>
      </c>
      <c r="F52" s="104">
        <f>(2.45+0.95)*15.1+0.65*4.7*4</f>
        <v>63.56</v>
      </c>
      <c r="G52" s="25"/>
      <c r="H52" s="41"/>
    </row>
    <row r="53" spans="1:8" ht="12.75" customHeight="1" x14ac:dyDescent="0.2">
      <c r="A53" s="15" t="str">
        <f>IF(C53=0,MAX($A$16:A52)+1," ")</f>
        <v xml:space="preserve"> </v>
      </c>
      <c r="B53" s="16"/>
      <c r="C53" s="17" t="s">
        <v>111</v>
      </c>
      <c r="D53" s="64" t="s">
        <v>113</v>
      </c>
      <c r="E53" s="64"/>
      <c r="F53" s="100"/>
      <c r="G53" s="64"/>
      <c r="H53" s="65"/>
    </row>
    <row r="54" spans="1:8" ht="12.75" customHeight="1" x14ac:dyDescent="0.2">
      <c r="A54" s="28" t="str">
        <f>IF(C54=0,MAX($A$16:A53)+1," ")</f>
        <v xml:space="preserve"> </v>
      </c>
      <c r="B54" s="29" t="s">
        <v>66</v>
      </c>
      <c r="C54" s="30" t="s">
        <v>112</v>
      </c>
      <c r="D54" s="66" t="s">
        <v>114</v>
      </c>
      <c r="E54" s="66"/>
      <c r="F54" s="101"/>
      <c r="G54" s="66"/>
      <c r="H54" s="67"/>
    </row>
    <row r="55" spans="1:8" ht="25.5" x14ac:dyDescent="0.2">
      <c r="A55" s="23">
        <f>IF(C55=0,MAX($A$16:A53)+1," ")</f>
        <v>17</v>
      </c>
      <c r="B55" s="24"/>
      <c r="C55" s="25"/>
      <c r="D55" s="26" t="s">
        <v>170</v>
      </c>
      <c r="E55" s="25" t="s">
        <v>110</v>
      </c>
      <c r="F55" s="104">
        <f>7*4 + 9.7*1.8*2+11.7*15.1</f>
        <v>239.58999999999997</v>
      </c>
      <c r="G55" s="25"/>
      <c r="H55" s="41"/>
    </row>
    <row r="56" spans="1:8" s="10" customFormat="1" ht="15.75" customHeight="1" x14ac:dyDescent="0.2">
      <c r="A56" s="12" t="str">
        <f>IF(C56=0,MAX(#REF!)+1," ")</f>
        <v xml:space="preserve"> </v>
      </c>
      <c r="B56" s="13"/>
      <c r="C56" s="14" t="s">
        <v>116</v>
      </c>
      <c r="D56" s="62" t="s">
        <v>117</v>
      </c>
      <c r="E56" s="62"/>
      <c r="F56" s="103"/>
      <c r="G56" s="62"/>
      <c r="H56" s="63"/>
    </row>
    <row r="57" spans="1:8" ht="12.75" customHeight="1" x14ac:dyDescent="0.2">
      <c r="A57" s="28" t="str">
        <f>IF(C57=0,MAX($A$16:A54)+1," ")</f>
        <v xml:space="preserve"> </v>
      </c>
      <c r="B57" s="29" t="s">
        <v>66</v>
      </c>
      <c r="C57" s="30" t="s">
        <v>174</v>
      </c>
      <c r="D57" s="66" t="s">
        <v>171</v>
      </c>
      <c r="E57" s="66"/>
      <c r="F57" s="101"/>
      <c r="G57" s="66"/>
      <c r="H57" s="67"/>
    </row>
    <row r="58" spans="1:8" ht="18.75" customHeight="1" x14ac:dyDescent="0.2">
      <c r="A58" s="23">
        <f>IF(C58=0,MAX($A$16:A55)+1," ")</f>
        <v>18</v>
      </c>
      <c r="B58" s="24"/>
      <c r="C58" s="25"/>
      <c r="D58" s="26" t="s">
        <v>172</v>
      </c>
      <c r="E58" s="25" t="s">
        <v>173</v>
      </c>
      <c r="F58" s="105">
        <v>1</v>
      </c>
      <c r="G58" s="25"/>
      <c r="H58" s="35"/>
    </row>
    <row r="59" spans="1:8" ht="12.75" customHeight="1" x14ac:dyDescent="0.2">
      <c r="A59" s="28" t="str">
        <f>IF(C59=0,MAX($A$16:A54)+1," ")</f>
        <v xml:space="preserve"> </v>
      </c>
      <c r="B59" s="29" t="s">
        <v>66</v>
      </c>
      <c r="C59" s="30" t="s">
        <v>175</v>
      </c>
      <c r="D59" s="66" t="s">
        <v>176</v>
      </c>
      <c r="E59" s="66"/>
      <c r="F59" s="101"/>
      <c r="G59" s="66"/>
      <c r="H59" s="67"/>
    </row>
    <row r="60" spans="1:8" ht="18.75" customHeight="1" x14ac:dyDescent="0.2">
      <c r="A60" s="23">
        <f>IF(C60=0,MAX($A$19:A58)+1," ")</f>
        <v>19</v>
      </c>
      <c r="B60" s="24"/>
      <c r="C60" s="25"/>
      <c r="D60" s="26" t="s">
        <v>177</v>
      </c>
      <c r="E60" s="25" t="s">
        <v>8</v>
      </c>
      <c r="F60" s="104">
        <f>10.3*3+15.1+0.45*13</f>
        <v>51.85</v>
      </c>
      <c r="G60" s="25"/>
      <c r="H60" s="41"/>
    </row>
    <row r="61" spans="1:8" ht="12.75" customHeight="1" x14ac:dyDescent="0.2">
      <c r="A61" s="28" t="str">
        <f>IF(C61=0,MAX($A$16:A56)+1," ")</f>
        <v xml:space="preserve"> </v>
      </c>
      <c r="B61" s="29" t="s">
        <v>66</v>
      </c>
      <c r="C61" s="30" t="s">
        <v>293</v>
      </c>
      <c r="D61" s="66" t="s">
        <v>294</v>
      </c>
      <c r="E61" s="66"/>
      <c r="F61" s="101"/>
      <c r="G61" s="66"/>
      <c r="H61" s="67"/>
    </row>
    <row r="62" spans="1:8" ht="18.75" customHeight="1" x14ac:dyDescent="0.2">
      <c r="A62" s="23">
        <f>IF(C62=0,MAX($A$16:A60)+1," ")</f>
        <v>20</v>
      </c>
      <c r="B62" s="24"/>
      <c r="C62" s="25"/>
      <c r="D62" s="26" t="s">
        <v>118</v>
      </c>
      <c r="E62" s="25" t="s">
        <v>8</v>
      </c>
      <c r="F62" s="104">
        <v>32</v>
      </c>
      <c r="G62" s="25"/>
      <c r="H62" s="41"/>
    </row>
    <row r="63" spans="1:8" s="10" customFormat="1" ht="15.75" customHeight="1" x14ac:dyDescent="0.2">
      <c r="A63" s="12" t="str">
        <f>IF(C63=0,MAX(#REF!)+1," ")</f>
        <v xml:space="preserve"> </v>
      </c>
      <c r="B63" s="13"/>
      <c r="C63" s="14" t="s">
        <v>178</v>
      </c>
      <c r="D63" s="62" t="s">
        <v>179</v>
      </c>
      <c r="E63" s="62"/>
      <c r="F63" s="103"/>
      <c r="G63" s="62"/>
      <c r="H63" s="63"/>
    </row>
    <row r="64" spans="1:8" ht="28.5" customHeight="1" x14ac:dyDescent="0.2">
      <c r="A64" s="28" t="str">
        <f>IF(C64=0,MAX($A$16:A61)+1," ")</f>
        <v xml:space="preserve"> </v>
      </c>
      <c r="B64" s="29" t="s">
        <v>66</v>
      </c>
      <c r="C64" s="30" t="s">
        <v>180</v>
      </c>
      <c r="D64" s="66" t="s">
        <v>302</v>
      </c>
      <c r="E64" s="66"/>
      <c r="F64" s="101"/>
      <c r="G64" s="66"/>
      <c r="H64" s="67"/>
    </row>
    <row r="65" spans="1:8" ht="18.75" customHeight="1" x14ac:dyDescent="0.2">
      <c r="A65" s="23">
        <f>IF(C65=0,MAX($A$16:A62)+1," ")</f>
        <v>21</v>
      </c>
      <c r="B65" s="24"/>
      <c r="C65" s="25"/>
      <c r="D65" s="26" t="s">
        <v>181</v>
      </c>
      <c r="E65" s="25" t="s">
        <v>110</v>
      </c>
      <c r="F65" s="105">
        <f>6.7*7*2</f>
        <v>93.8</v>
      </c>
      <c r="G65" s="25"/>
      <c r="H65" s="35"/>
    </row>
    <row r="66" spans="1:8" s="10" customFormat="1" ht="15.75" customHeight="1" x14ac:dyDescent="0.2">
      <c r="A66" s="12" t="str">
        <f>IF(C66=0,MAX(#REF!)+1," ")</f>
        <v xml:space="preserve"> </v>
      </c>
      <c r="B66" s="13"/>
      <c r="C66" s="14" t="s">
        <v>126</v>
      </c>
      <c r="D66" s="62" t="s">
        <v>127</v>
      </c>
      <c r="E66" s="62"/>
      <c r="F66" s="103"/>
      <c r="G66" s="62"/>
      <c r="H66" s="63"/>
    </row>
    <row r="67" spans="1:8" ht="12.75" customHeight="1" x14ac:dyDescent="0.2">
      <c r="A67" s="28" t="str">
        <f>IF(C67=0,MAX($A$16:A64)+1," ")</f>
        <v xml:space="preserve"> </v>
      </c>
      <c r="B67" s="29" t="s">
        <v>66</v>
      </c>
      <c r="C67" s="30" t="s">
        <v>182</v>
      </c>
      <c r="D67" s="66" t="s">
        <v>183</v>
      </c>
      <c r="E67" s="66"/>
      <c r="F67" s="101"/>
      <c r="G67" s="66"/>
      <c r="H67" s="67"/>
    </row>
    <row r="68" spans="1:8" ht="15.75" customHeight="1" x14ac:dyDescent="0.2">
      <c r="A68" s="23">
        <f>IF(C68=0,MAX($A$16:A65)+1," ")</f>
        <v>22</v>
      </c>
      <c r="B68" s="24"/>
      <c r="C68" s="25"/>
      <c r="D68" s="26" t="s">
        <v>184</v>
      </c>
      <c r="E68" s="25" t="s">
        <v>8</v>
      </c>
      <c r="F68" s="104">
        <v>15.1</v>
      </c>
      <c r="G68" s="25"/>
      <c r="H68" s="41"/>
    </row>
    <row r="69" spans="1:8" ht="15.75" customHeight="1" x14ac:dyDescent="0.2">
      <c r="A69" s="23">
        <f>IF(C69=0,MAX($A$16:A68)+1," ")</f>
        <v>23</v>
      </c>
      <c r="B69" s="24"/>
      <c r="C69" s="25"/>
      <c r="D69" s="26" t="s">
        <v>185</v>
      </c>
      <c r="E69" s="25" t="s">
        <v>8</v>
      </c>
      <c r="F69" s="104">
        <v>15.1</v>
      </c>
      <c r="G69" s="25"/>
      <c r="H69" s="41"/>
    </row>
    <row r="70" spans="1:8" ht="12.75" customHeight="1" x14ac:dyDescent="0.2">
      <c r="A70" s="28" t="str">
        <f>IF(C70=0,MAX($A$16:A66)+1," ")</f>
        <v xml:space="preserve"> </v>
      </c>
      <c r="B70" s="29" t="s">
        <v>66</v>
      </c>
      <c r="C70" s="30" t="s">
        <v>186</v>
      </c>
      <c r="D70" s="66" t="s">
        <v>187</v>
      </c>
      <c r="E70" s="66"/>
      <c r="F70" s="101"/>
      <c r="G70" s="66"/>
      <c r="H70" s="67"/>
    </row>
    <row r="71" spans="1:8" ht="15.75" customHeight="1" x14ac:dyDescent="0.2">
      <c r="A71" s="23">
        <f>IF(C71=0,MAX($A$16:A69)+1," ")</f>
        <v>24</v>
      </c>
      <c r="B71" s="24"/>
      <c r="C71" s="25"/>
      <c r="D71" s="26" t="s">
        <v>188</v>
      </c>
      <c r="E71" s="25" t="s">
        <v>8</v>
      </c>
      <c r="F71" s="104">
        <v>50</v>
      </c>
      <c r="G71" s="25"/>
      <c r="H71" s="41"/>
    </row>
    <row r="72" spans="1:8" s="10" customFormat="1" ht="15.75" customHeight="1" x14ac:dyDescent="0.2">
      <c r="A72" s="12" t="str">
        <f>IF(C72=0,MAX(#REF!)+1," ")</f>
        <v xml:space="preserve"> </v>
      </c>
      <c r="B72" s="13"/>
      <c r="C72" s="14" t="s">
        <v>23</v>
      </c>
      <c r="D72" s="71" t="s">
        <v>24</v>
      </c>
      <c r="E72" s="72"/>
      <c r="F72" s="106"/>
      <c r="G72" s="72"/>
      <c r="H72" s="73"/>
    </row>
    <row r="73" spans="1:8" ht="12.75" customHeight="1" x14ac:dyDescent="0.2">
      <c r="A73" s="15" t="str">
        <f>IF(C73=0,MAX($A$16:A72)+1," ")</f>
        <v xml:space="preserve"> </v>
      </c>
      <c r="B73" s="16"/>
      <c r="C73" s="17" t="s">
        <v>25</v>
      </c>
      <c r="D73" s="68" t="s">
        <v>24</v>
      </c>
      <c r="E73" s="69"/>
      <c r="F73" s="107"/>
      <c r="G73" s="69"/>
      <c r="H73" s="70"/>
    </row>
    <row r="74" spans="1:8" ht="12.75" customHeight="1" x14ac:dyDescent="0.2">
      <c r="A74" s="28" t="str">
        <f>IF(C74=0,MAX($A$10:A73)+1," ")</f>
        <v xml:space="preserve"> </v>
      </c>
      <c r="B74" s="29" t="s">
        <v>27</v>
      </c>
      <c r="C74" s="30" t="s">
        <v>26</v>
      </c>
      <c r="D74" s="66" t="s">
        <v>28</v>
      </c>
      <c r="E74" s="66"/>
      <c r="F74" s="101"/>
      <c r="G74" s="66"/>
      <c r="H74" s="67"/>
    </row>
    <row r="75" spans="1:8" s="18" customFormat="1" x14ac:dyDescent="0.2">
      <c r="A75" s="23">
        <f>IF(C75=0,MAX($A$10:A74)+1," ")</f>
        <v>25</v>
      </c>
      <c r="B75" s="31"/>
      <c r="C75" s="32"/>
      <c r="D75" s="26" t="s">
        <v>29</v>
      </c>
      <c r="E75" s="33" t="s">
        <v>8</v>
      </c>
      <c r="F75" s="104">
        <f>3.51+4.05</f>
        <v>7.56</v>
      </c>
      <c r="G75" s="33"/>
      <c r="H75" s="41"/>
    </row>
    <row r="76" spans="1:8" ht="12.75" customHeight="1" x14ac:dyDescent="0.2">
      <c r="A76" s="28" t="str">
        <f>IF(C76=0,MAX($A$16:A73)+1," ")</f>
        <v xml:space="preserve"> </v>
      </c>
      <c r="B76" s="29" t="s">
        <v>27</v>
      </c>
      <c r="C76" s="30" t="s">
        <v>189</v>
      </c>
      <c r="D76" s="66" t="s">
        <v>190</v>
      </c>
      <c r="E76" s="66"/>
      <c r="F76" s="101"/>
      <c r="G76" s="66"/>
      <c r="H76" s="67"/>
    </row>
    <row r="77" spans="1:8" s="18" customFormat="1" ht="15.75" x14ac:dyDescent="0.2">
      <c r="A77" s="23">
        <f>IF(C77=0,MAX($A$16:A73)+1," ")</f>
        <v>25</v>
      </c>
      <c r="B77" s="31"/>
      <c r="C77" s="32"/>
      <c r="D77" s="34" t="s">
        <v>191</v>
      </c>
      <c r="E77" s="33" t="s">
        <v>22</v>
      </c>
      <c r="F77" s="102">
        <f>125+198</f>
        <v>323</v>
      </c>
      <c r="G77" s="33"/>
      <c r="H77" s="27"/>
    </row>
    <row r="78" spans="1:8" ht="12.75" customHeight="1" x14ac:dyDescent="0.2">
      <c r="A78" s="15" t="str">
        <f>IF(C78=0,MAX($A$16:A77)+1," ")</f>
        <v xml:space="preserve"> </v>
      </c>
      <c r="B78" s="16"/>
      <c r="C78" s="17" t="s">
        <v>37</v>
      </c>
      <c r="D78" s="64" t="s">
        <v>38</v>
      </c>
      <c r="E78" s="64"/>
      <c r="F78" s="100"/>
      <c r="G78" s="64"/>
      <c r="H78" s="65"/>
    </row>
    <row r="79" spans="1:8" ht="12.75" customHeight="1" x14ac:dyDescent="0.2">
      <c r="A79" s="28" t="str">
        <f>IF(C79=0,MAX($A$16:A78)+1," ")</f>
        <v xml:space="preserve"> </v>
      </c>
      <c r="B79" s="29" t="s">
        <v>27</v>
      </c>
      <c r="C79" s="30" t="s">
        <v>41</v>
      </c>
      <c r="D79" s="66" t="s">
        <v>39</v>
      </c>
      <c r="E79" s="66"/>
      <c r="F79" s="101"/>
      <c r="G79" s="66"/>
      <c r="H79" s="67"/>
    </row>
    <row r="80" spans="1:8" s="18" customFormat="1" ht="41.25" customHeight="1" x14ac:dyDescent="0.2">
      <c r="A80" s="23">
        <f>IF(C80=0,MAX($A$16:A79)+1," ")</f>
        <v>26</v>
      </c>
      <c r="B80" s="31"/>
      <c r="C80" s="32"/>
      <c r="D80" s="26" t="s">
        <v>316</v>
      </c>
      <c r="E80" s="33" t="s">
        <v>40</v>
      </c>
      <c r="F80" s="105">
        <v>1</v>
      </c>
      <c r="G80" s="33"/>
      <c r="H80" s="35"/>
    </row>
    <row r="81" spans="1:8" ht="12.75" customHeight="1" x14ac:dyDescent="0.2">
      <c r="A81" s="28" t="str">
        <f>IF(C81=0,MAX($A$16:A80)+1," ")</f>
        <v xml:space="preserve"> </v>
      </c>
      <c r="B81" s="29" t="s">
        <v>27</v>
      </c>
      <c r="C81" s="30" t="s">
        <v>42</v>
      </c>
      <c r="D81" s="66" t="s">
        <v>43</v>
      </c>
      <c r="E81" s="66"/>
      <c r="F81" s="101"/>
      <c r="G81" s="66"/>
      <c r="H81" s="67"/>
    </row>
    <row r="82" spans="1:8" s="18" customFormat="1" ht="13.5" thickBot="1" x14ac:dyDescent="0.25">
      <c r="A82" s="44">
        <f>IF(C82=0,MAX($A$16:A81)+1," ")</f>
        <v>27</v>
      </c>
      <c r="B82" s="45"/>
      <c r="C82" s="46"/>
      <c r="D82" s="47" t="s">
        <v>43</v>
      </c>
      <c r="E82" s="48" t="s">
        <v>40</v>
      </c>
      <c r="F82" s="108">
        <v>1</v>
      </c>
      <c r="G82" s="48"/>
      <c r="H82" s="49"/>
    </row>
    <row r="83" spans="1:8" ht="21" customHeight="1" thickBot="1" x14ac:dyDescent="0.25">
      <c r="A83" s="109"/>
      <c r="B83" s="110"/>
      <c r="C83" s="110"/>
      <c r="D83" s="110"/>
      <c r="E83" s="111"/>
      <c r="F83" s="112" t="s">
        <v>320</v>
      </c>
      <c r="G83" s="118"/>
      <c r="H83" s="119"/>
    </row>
    <row r="87" spans="1:8" s="7" customFormat="1" x14ac:dyDescent="0.2">
      <c r="A87" s="1"/>
      <c r="B87" s="2"/>
      <c r="C87" s="2"/>
      <c r="D87" s="40"/>
      <c r="F87" s="3"/>
      <c r="G87" s="2"/>
    </row>
  </sheetData>
  <mergeCells count="14">
    <mergeCell ref="A1:H1"/>
    <mergeCell ref="G83:H83"/>
    <mergeCell ref="G6:H6"/>
    <mergeCell ref="G7:G8"/>
    <mergeCell ref="H7:H8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6" fitToHeight="58" orientation="portrait" useFirstPageNumber="1" r:id="rId1"/>
  <headerFooter alignWithMargins="0"/>
  <rowBreaks count="1" manualBreakCount="1">
    <brk id="71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H4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312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101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64*22</f>
        <v>1408</v>
      </c>
      <c r="G13" s="25"/>
      <c r="H13" s="83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64" t="s">
        <v>17</v>
      </c>
      <c r="E14" s="64"/>
      <c r="F14" s="100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66" t="s">
        <v>140</v>
      </c>
      <c r="E15" s="66"/>
      <c r="F15" s="101"/>
      <c r="G15" s="66"/>
      <c r="H15" s="67"/>
    </row>
    <row r="16" spans="1:8" ht="15.75" x14ac:dyDescent="0.2">
      <c r="A16" s="23">
        <f>IF(C16=0,MAX($A$10:A14)+1," ")</f>
        <v>2</v>
      </c>
      <c r="B16" s="24"/>
      <c r="C16" s="25"/>
      <c r="D16" s="26" t="s">
        <v>142</v>
      </c>
      <c r="E16" s="25" t="s">
        <v>22</v>
      </c>
      <c r="F16" s="102">
        <f>6*(2*8+2*28.5)</f>
        <v>438</v>
      </c>
      <c r="G16" s="25"/>
      <c r="H16" s="83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2" t="s">
        <v>24</v>
      </c>
      <c r="E17" s="62"/>
      <c r="F17" s="103"/>
      <c r="G17" s="62"/>
      <c r="H17" s="63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64" t="s">
        <v>24</v>
      </c>
      <c r="E18" s="64"/>
      <c r="F18" s="100"/>
      <c r="G18" s="64"/>
      <c r="H18" s="65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66" t="s">
        <v>28</v>
      </c>
      <c r="E19" s="66"/>
      <c r="F19" s="101"/>
      <c r="G19" s="66"/>
      <c r="H19" s="67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104">
        <f>5.94+4.86</f>
        <v>10.8</v>
      </c>
      <c r="G20" s="33"/>
      <c r="H20" s="83"/>
    </row>
    <row r="21" spans="1:8" ht="26.25" customHeight="1" x14ac:dyDescent="0.2">
      <c r="A21" s="28" t="str">
        <f>IF(C21=0,MAX($A$10:A20)+1," ")</f>
        <v xml:space="preserve"> </v>
      </c>
      <c r="B21" s="29" t="s">
        <v>27</v>
      </c>
      <c r="C21" s="30" t="s">
        <v>122</v>
      </c>
      <c r="D21" s="66" t="s">
        <v>119</v>
      </c>
      <c r="E21" s="66"/>
      <c r="F21" s="101"/>
      <c r="G21" s="66"/>
      <c r="H21" s="67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102">
        <f>16.5*2</f>
        <v>33</v>
      </c>
      <c r="G22" s="33"/>
      <c r="H22" s="83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66" t="s">
        <v>121</v>
      </c>
      <c r="E23" s="66"/>
      <c r="F23" s="101"/>
      <c r="G23" s="66"/>
      <c r="H23" s="67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102">
        <f>4.5*32</f>
        <v>144</v>
      </c>
      <c r="G24" s="33"/>
      <c r="H24" s="83"/>
    </row>
    <row r="25" spans="1:8" x14ac:dyDescent="0.2">
      <c r="A25" s="15" t="str">
        <f>IF(C25=0,MAX($A$10:A24)+1," ")</f>
        <v xml:space="preserve"> </v>
      </c>
      <c r="B25" s="16"/>
      <c r="C25" s="17" t="s">
        <v>37</v>
      </c>
      <c r="D25" s="64" t="s">
        <v>38</v>
      </c>
      <c r="E25" s="64"/>
      <c r="F25" s="100"/>
      <c r="G25" s="64"/>
      <c r="H25" s="65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41</v>
      </c>
      <c r="D26" s="66" t="s">
        <v>39</v>
      </c>
      <c r="E26" s="66"/>
      <c r="F26" s="101"/>
      <c r="G26" s="66"/>
      <c r="H26" s="67"/>
    </row>
    <row r="27" spans="1:8" s="18" customFormat="1" ht="17.25" customHeight="1" x14ac:dyDescent="0.2">
      <c r="A27" s="23">
        <f>IF(C27=0,MAX($A$10:A26)+1," ")</f>
        <v>6</v>
      </c>
      <c r="B27" s="31"/>
      <c r="C27" s="32"/>
      <c r="D27" s="26" t="s">
        <v>123</v>
      </c>
      <c r="E27" s="33" t="s">
        <v>40</v>
      </c>
      <c r="F27" s="105">
        <v>1</v>
      </c>
      <c r="G27" s="33"/>
      <c r="H27" s="83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42</v>
      </c>
      <c r="D28" s="66" t="s">
        <v>43</v>
      </c>
      <c r="E28" s="66"/>
      <c r="F28" s="101"/>
      <c r="G28" s="66"/>
      <c r="H28" s="67"/>
    </row>
    <row r="29" spans="1:8" s="18" customFormat="1" x14ac:dyDescent="0.2">
      <c r="A29" s="23">
        <f>IF(C29=0,MAX($A$10:A28)+1," ")</f>
        <v>7</v>
      </c>
      <c r="B29" s="31"/>
      <c r="C29" s="32"/>
      <c r="D29" s="26" t="s">
        <v>43</v>
      </c>
      <c r="E29" s="33" t="s">
        <v>40</v>
      </c>
      <c r="F29" s="105">
        <v>1</v>
      </c>
      <c r="G29" s="33"/>
      <c r="H29" s="83"/>
    </row>
    <row r="30" spans="1:8" x14ac:dyDescent="0.2">
      <c r="A30" s="15" t="str">
        <f>IF(C30=0,MAX($A$10:A24)+1," ")</f>
        <v xml:space="preserve"> </v>
      </c>
      <c r="B30" s="16"/>
      <c r="C30" s="17" t="s">
        <v>33</v>
      </c>
      <c r="D30" s="64" t="s">
        <v>34</v>
      </c>
      <c r="E30" s="64"/>
      <c r="F30" s="100"/>
      <c r="G30" s="64"/>
      <c r="H30" s="65"/>
    </row>
    <row r="31" spans="1:8" x14ac:dyDescent="0.2">
      <c r="A31" s="28" t="str">
        <f>IF(C31=0,MAX($A$10:A30)+1," ")</f>
        <v xml:space="preserve"> </v>
      </c>
      <c r="B31" s="29" t="s">
        <v>9</v>
      </c>
      <c r="C31" s="30" t="s">
        <v>35</v>
      </c>
      <c r="D31" s="66" t="s">
        <v>36</v>
      </c>
      <c r="E31" s="66"/>
      <c r="F31" s="101"/>
      <c r="G31" s="66"/>
      <c r="H31" s="67"/>
    </row>
    <row r="32" spans="1:8" s="18" customFormat="1" ht="108.75" customHeight="1" x14ac:dyDescent="0.2">
      <c r="A32" s="23">
        <f>IF(C32=0,MAX($A$10:A31)+1," ")</f>
        <v>8</v>
      </c>
      <c r="B32" s="31"/>
      <c r="C32" s="32"/>
      <c r="D32" s="26" t="s">
        <v>44</v>
      </c>
      <c r="E32" s="33" t="s">
        <v>22</v>
      </c>
      <c r="F32" s="102">
        <f>7.4*28</f>
        <v>207.20000000000002</v>
      </c>
      <c r="G32" s="33"/>
      <c r="H32" s="83"/>
    </row>
    <row r="33" spans="1:8" s="18" customFormat="1" ht="25.5" x14ac:dyDescent="0.2">
      <c r="A33" s="23">
        <f>IF(C33=0,MAX($A$10:A32)+1," ")</f>
        <v>9</v>
      </c>
      <c r="B33" s="31"/>
      <c r="C33" s="32"/>
      <c r="D33" s="34" t="s">
        <v>45</v>
      </c>
      <c r="E33" s="33" t="s">
        <v>8</v>
      </c>
      <c r="F33" s="104">
        <v>25.7</v>
      </c>
      <c r="G33" s="33"/>
      <c r="H33" s="83"/>
    </row>
    <row r="34" spans="1:8" s="18" customFormat="1" ht="16.5" thickBot="1" x14ac:dyDescent="0.25">
      <c r="A34" s="44">
        <f>IF(C34=0,MAX($A$10:A33)+1," ")</f>
        <v>10</v>
      </c>
      <c r="B34" s="45"/>
      <c r="C34" s="46"/>
      <c r="D34" s="92" t="s">
        <v>46</v>
      </c>
      <c r="E34" s="48" t="s">
        <v>21</v>
      </c>
      <c r="F34" s="114">
        <f>46*22</f>
        <v>1012</v>
      </c>
      <c r="G34" s="33"/>
      <c r="H34" s="83"/>
    </row>
    <row r="35" spans="1:8" ht="21" customHeight="1" thickBot="1" x14ac:dyDescent="0.25">
      <c r="F35" s="112" t="s">
        <v>320</v>
      </c>
      <c r="G35" s="118"/>
      <c r="H35" s="119"/>
    </row>
    <row r="40" spans="1:8" s="7" customFormat="1" x14ac:dyDescent="0.2">
      <c r="A40" s="1"/>
      <c r="B40" s="2"/>
      <c r="C40" s="2"/>
      <c r="D40" s="40"/>
      <c r="F40" s="3"/>
      <c r="G40" s="2"/>
    </row>
  </sheetData>
  <mergeCells count="14">
    <mergeCell ref="A1:H1"/>
    <mergeCell ref="G6:H6"/>
    <mergeCell ref="G7:G8"/>
    <mergeCell ref="H7:H8"/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H38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131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61.3*20.7</f>
        <v>1268.9099999999999</v>
      </c>
      <c r="G13" s="25"/>
      <c r="H13" s="83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64" t="s">
        <v>17</v>
      </c>
      <c r="E14" s="64"/>
      <c r="F14" s="100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66" t="s">
        <v>140</v>
      </c>
      <c r="E15" s="66"/>
      <c r="F15" s="101"/>
      <c r="G15" s="66"/>
      <c r="H15" s="67"/>
    </row>
    <row r="16" spans="1:8" ht="15.75" x14ac:dyDescent="0.2">
      <c r="A16" s="23">
        <f>IF(C16=0,MAX($A$10:A14)+1," ")</f>
        <v>2</v>
      </c>
      <c r="B16" s="24"/>
      <c r="C16" s="25"/>
      <c r="D16" s="26" t="s">
        <v>142</v>
      </c>
      <c r="E16" s="25" t="s">
        <v>22</v>
      </c>
      <c r="F16" s="102">
        <f>6*(51.5+7)</f>
        <v>351</v>
      </c>
      <c r="G16" s="25"/>
      <c r="H16" s="83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2" t="s">
        <v>24</v>
      </c>
      <c r="E17" s="62"/>
      <c r="F17" s="103"/>
      <c r="G17" s="62"/>
      <c r="H17" s="63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64" t="s">
        <v>24</v>
      </c>
      <c r="E18" s="64"/>
      <c r="F18" s="100"/>
      <c r="G18" s="64"/>
      <c r="H18" s="65"/>
    </row>
    <row r="19" spans="1:8" ht="28.5" customHeight="1" x14ac:dyDescent="0.2">
      <c r="A19" s="28" t="str">
        <f>IF(C19=0,MAX($A$10:A18)+1," ")</f>
        <v xml:space="preserve"> </v>
      </c>
      <c r="B19" s="29" t="s">
        <v>27</v>
      </c>
      <c r="C19" s="30" t="s">
        <v>122</v>
      </c>
      <c r="D19" s="66" t="s">
        <v>119</v>
      </c>
      <c r="E19" s="66"/>
      <c r="F19" s="101"/>
      <c r="G19" s="66"/>
      <c r="H19" s="67"/>
    </row>
    <row r="20" spans="1:8" s="18" customFormat="1" ht="25.5" x14ac:dyDescent="0.2">
      <c r="A20" s="23">
        <f>IF(C20=0,MAX($A$10:A18)+1," ")</f>
        <v>3</v>
      </c>
      <c r="B20" s="31"/>
      <c r="C20" s="32"/>
      <c r="D20" s="34" t="s">
        <v>30</v>
      </c>
      <c r="E20" s="33" t="s">
        <v>22</v>
      </c>
      <c r="F20" s="102">
        <f>15.5*2</f>
        <v>31</v>
      </c>
      <c r="G20" s="33"/>
      <c r="H20" s="83"/>
    </row>
    <row r="21" spans="1:8" x14ac:dyDescent="0.2">
      <c r="A21" s="28" t="str">
        <f>IF(C21=0,MAX($A$10:A20)+1," ")</f>
        <v xml:space="preserve"> </v>
      </c>
      <c r="B21" s="29" t="s">
        <v>27</v>
      </c>
      <c r="C21" s="30" t="s">
        <v>32</v>
      </c>
      <c r="D21" s="66" t="s">
        <v>121</v>
      </c>
      <c r="E21" s="66"/>
      <c r="F21" s="101"/>
      <c r="G21" s="66"/>
      <c r="H21" s="67"/>
    </row>
    <row r="22" spans="1:8" s="18" customFormat="1" ht="15.75" x14ac:dyDescent="0.2">
      <c r="A22" s="23">
        <f>IF(C22=0,MAX($A$10:A20)+1," ")</f>
        <v>4</v>
      </c>
      <c r="B22" s="31"/>
      <c r="C22" s="32"/>
      <c r="D22" s="34" t="s">
        <v>31</v>
      </c>
      <c r="E22" s="33" t="s">
        <v>22</v>
      </c>
      <c r="F22" s="102">
        <v>40</v>
      </c>
      <c r="G22" s="33"/>
      <c r="H22" s="83"/>
    </row>
    <row r="23" spans="1:8" x14ac:dyDescent="0.2">
      <c r="A23" s="15" t="str">
        <f>IF(C23=0,MAX($A$10:A22)+1," ")</f>
        <v xml:space="preserve"> </v>
      </c>
      <c r="B23" s="16"/>
      <c r="C23" s="17" t="s">
        <v>37</v>
      </c>
      <c r="D23" s="64" t="s">
        <v>38</v>
      </c>
      <c r="E23" s="64"/>
      <c r="F23" s="100"/>
      <c r="G23" s="64"/>
      <c r="H23" s="65"/>
    </row>
    <row r="24" spans="1:8" x14ac:dyDescent="0.2">
      <c r="A24" s="28" t="str">
        <f>IF(C24=0,MAX($A$10:A23)+1," ")</f>
        <v xml:space="preserve"> </v>
      </c>
      <c r="B24" s="29" t="s">
        <v>27</v>
      </c>
      <c r="C24" s="30" t="s">
        <v>41</v>
      </c>
      <c r="D24" s="66" t="s">
        <v>39</v>
      </c>
      <c r="E24" s="66"/>
      <c r="F24" s="101"/>
      <c r="G24" s="66"/>
      <c r="H24" s="67"/>
    </row>
    <row r="25" spans="1:8" s="18" customFormat="1" ht="17.25" customHeight="1" x14ac:dyDescent="0.2">
      <c r="A25" s="23">
        <f>IF(C25=0,MAX($A$10:A24)+1," ")</f>
        <v>5</v>
      </c>
      <c r="B25" s="31"/>
      <c r="C25" s="32"/>
      <c r="D25" s="26" t="s">
        <v>123</v>
      </c>
      <c r="E25" s="33" t="s">
        <v>40</v>
      </c>
      <c r="F25" s="105">
        <v>1</v>
      </c>
      <c r="G25" s="33"/>
      <c r="H25" s="83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42</v>
      </c>
      <c r="D26" s="66" t="s">
        <v>43</v>
      </c>
      <c r="E26" s="66"/>
      <c r="F26" s="101"/>
      <c r="G26" s="66"/>
      <c r="H26" s="67"/>
    </row>
    <row r="27" spans="1:8" s="18" customFormat="1" x14ac:dyDescent="0.2">
      <c r="A27" s="23">
        <f>IF(C27=0,MAX($A$10:A26)+1," ")</f>
        <v>6</v>
      </c>
      <c r="B27" s="31"/>
      <c r="C27" s="32"/>
      <c r="D27" s="26" t="s">
        <v>43</v>
      </c>
      <c r="E27" s="33" t="s">
        <v>40</v>
      </c>
      <c r="F27" s="105">
        <v>1</v>
      </c>
      <c r="G27" s="33"/>
      <c r="H27" s="83"/>
    </row>
    <row r="28" spans="1:8" x14ac:dyDescent="0.2">
      <c r="A28" s="15" t="str">
        <f>IF(C28=0,MAX($A$10:A22)+1," ")</f>
        <v xml:space="preserve"> </v>
      </c>
      <c r="B28" s="16"/>
      <c r="C28" s="17" t="s">
        <v>33</v>
      </c>
      <c r="D28" s="64" t="s">
        <v>34</v>
      </c>
      <c r="E28" s="64"/>
      <c r="F28" s="100"/>
      <c r="G28" s="64"/>
      <c r="H28" s="65"/>
    </row>
    <row r="29" spans="1:8" x14ac:dyDescent="0.2">
      <c r="A29" s="28" t="str">
        <f>IF(C29=0,MAX($A$10:A28)+1," ")</f>
        <v xml:space="preserve"> </v>
      </c>
      <c r="B29" s="29" t="s">
        <v>9</v>
      </c>
      <c r="C29" s="30" t="s">
        <v>35</v>
      </c>
      <c r="D29" s="66" t="s">
        <v>36</v>
      </c>
      <c r="E29" s="66"/>
      <c r="F29" s="101"/>
      <c r="G29" s="66"/>
      <c r="H29" s="67"/>
    </row>
    <row r="30" spans="1:8" s="18" customFormat="1" ht="108.75" customHeight="1" x14ac:dyDescent="0.2">
      <c r="A30" s="23">
        <f>IF(C30=0,MAX($A$10:A29)+1," ")</f>
        <v>7</v>
      </c>
      <c r="B30" s="31"/>
      <c r="C30" s="32"/>
      <c r="D30" s="26" t="s">
        <v>44</v>
      </c>
      <c r="E30" s="33" t="s">
        <v>22</v>
      </c>
      <c r="F30" s="102">
        <f>7.5*23</f>
        <v>172.5</v>
      </c>
      <c r="G30" s="33"/>
      <c r="H30" s="83"/>
    </row>
    <row r="31" spans="1:8" s="18" customFormat="1" ht="25.5" x14ac:dyDescent="0.2">
      <c r="A31" s="23">
        <f>IF(C31=0,MAX($A$10:A30)+1," ")</f>
        <v>8</v>
      </c>
      <c r="B31" s="31"/>
      <c r="C31" s="32"/>
      <c r="D31" s="34" t="s">
        <v>45</v>
      </c>
      <c r="E31" s="33" t="s">
        <v>8</v>
      </c>
      <c r="F31" s="104">
        <v>20.7</v>
      </c>
      <c r="G31" s="33"/>
      <c r="H31" s="83"/>
    </row>
    <row r="32" spans="1:8" s="18" customFormat="1" ht="16.5" thickBot="1" x14ac:dyDescent="0.25">
      <c r="A32" s="44">
        <f>IF(C32=0,MAX($A$10:A31)+1," ")</f>
        <v>9</v>
      </c>
      <c r="B32" s="45"/>
      <c r="C32" s="46"/>
      <c r="D32" s="92" t="s">
        <v>46</v>
      </c>
      <c r="E32" s="48" t="s">
        <v>21</v>
      </c>
      <c r="F32" s="114">
        <f>30*20.7</f>
        <v>621</v>
      </c>
      <c r="G32" s="48"/>
      <c r="H32" s="83"/>
    </row>
    <row r="33" spans="1:8" ht="21" customHeight="1" thickBot="1" x14ac:dyDescent="0.25">
      <c r="F33" s="112" t="s">
        <v>320</v>
      </c>
      <c r="G33" s="118"/>
      <c r="H33" s="119"/>
    </row>
    <row r="38" spans="1:8" s="7" customFormat="1" x14ac:dyDescent="0.2">
      <c r="A38" s="1"/>
      <c r="B38" s="2"/>
      <c r="C38" s="2"/>
      <c r="D38" s="40"/>
      <c r="F38" s="3"/>
      <c r="G38" s="2"/>
    </row>
  </sheetData>
  <mergeCells count="14">
    <mergeCell ref="A1:H1"/>
    <mergeCell ref="G6:H6"/>
    <mergeCell ref="G7:G8"/>
    <mergeCell ref="H7:H8"/>
    <mergeCell ref="G33:H33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K37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313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42*20.8</f>
        <v>873.6</v>
      </c>
      <c r="G13" s="25"/>
      <c r="H13" s="83"/>
    </row>
    <row r="14" spans="1:8" s="10" customFormat="1" ht="15.75" x14ac:dyDescent="0.2">
      <c r="A14" s="12" t="str">
        <f>IF(C14=0,MAX(#REF!)+1," ")</f>
        <v xml:space="preserve"> </v>
      </c>
      <c r="B14" s="13"/>
      <c r="C14" s="14" t="s">
        <v>23</v>
      </c>
      <c r="D14" s="62" t="s">
        <v>24</v>
      </c>
      <c r="E14" s="62"/>
      <c r="F14" s="103"/>
      <c r="G14" s="62"/>
      <c r="H14" s="63"/>
    </row>
    <row r="15" spans="1:8" x14ac:dyDescent="0.2">
      <c r="A15" s="15" t="str">
        <f>IF(C15=0,MAX($A$10:A14)+1," ")</f>
        <v xml:space="preserve"> </v>
      </c>
      <c r="B15" s="16"/>
      <c r="C15" s="17" t="s">
        <v>25</v>
      </c>
      <c r="D15" s="64" t="s">
        <v>24</v>
      </c>
      <c r="E15" s="64"/>
      <c r="F15" s="100"/>
      <c r="G15" s="64"/>
      <c r="H15" s="65"/>
    </row>
    <row r="16" spans="1:8" x14ac:dyDescent="0.2">
      <c r="A16" s="28" t="str">
        <f>IF(C16=0,MAX($A$10:A15)+1," ")</f>
        <v xml:space="preserve"> </v>
      </c>
      <c r="B16" s="29" t="s">
        <v>27</v>
      </c>
      <c r="C16" s="30" t="s">
        <v>26</v>
      </c>
      <c r="D16" s="66" t="s">
        <v>28</v>
      </c>
      <c r="E16" s="66"/>
      <c r="F16" s="101"/>
      <c r="G16" s="66"/>
      <c r="H16" s="67"/>
    </row>
    <row r="17" spans="1:8" s="18" customFormat="1" x14ac:dyDescent="0.2">
      <c r="A17" s="23">
        <f>IF(C17=0,MAX($A$10:A16)+1," ")</f>
        <v>2</v>
      </c>
      <c r="B17" s="31"/>
      <c r="C17" s="32"/>
      <c r="D17" s="26" t="s">
        <v>29</v>
      </c>
      <c r="E17" s="33" t="s">
        <v>8</v>
      </c>
      <c r="F17" s="104">
        <f>3.24+3.78</f>
        <v>7.02</v>
      </c>
      <c r="G17" s="33"/>
      <c r="H17" s="83"/>
    </row>
    <row r="18" spans="1:8" ht="25.5" customHeight="1" x14ac:dyDescent="0.2">
      <c r="A18" s="28" t="str">
        <f>IF(C18=0,MAX($A$10:A15)+1," ")</f>
        <v xml:space="preserve"> </v>
      </c>
      <c r="B18" s="29" t="s">
        <v>27</v>
      </c>
      <c r="C18" s="30" t="s">
        <v>122</v>
      </c>
      <c r="D18" s="66" t="s">
        <v>119</v>
      </c>
      <c r="E18" s="66"/>
      <c r="F18" s="101"/>
      <c r="G18" s="66"/>
      <c r="H18" s="67"/>
    </row>
    <row r="19" spans="1:8" s="18" customFormat="1" ht="25.5" x14ac:dyDescent="0.2">
      <c r="A19" s="23">
        <f>IF(C19=0,MAX($A$10:A17)+1," ")</f>
        <v>3</v>
      </c>
      <c r="B19" s="31"/>
      <c r="C19" s="32"/>
      <c r="D19" s="34" t="s">
        <v>30</v>
      </c>
      <c r="E19" s="33" t="s">
        <v>22</v>
      </c>
      <c r="F19" s="102">
        <v>24</v>
      </c>
      <c r="G19" s="33"/>
      <c r="H19" s="83"/>
    </row>
    <row r="20" spans="1:8" x14ac:dyDescent="0.2">
      <c r="A20" s="28" t="str">
        <f>IF(C20=0,MAX($A$10:A19)+1," ")</f>
        <v xml:space="preserve"> </v>
      </c>
      <c r="B20" s="29" t="s">
        <v>27</v>
      </c>
      <c r="C20" s="30" t="s">
        <v>32</v>
      </c>
      <c r="D20" s="66" t="s">
        <v>121</v>
      </c>
      <c r="E20" s="66"/>
      <c r="F20" s="101"/>
      <c r="G20" s="66"/>
      <c r="H20" s="67"/>
    </row>
    <row r="21" spans="1:8" s="18" customFormat="1" ht="15.75" x14ac:dyDescent="0.2">
      <c r="A21" s="23">
        <f>IF(C21=0,MAX($A$10:A19)+1," ")</f>
        <v>4</v>
      </c>
      <c r="B21" s="31"/>
      <c r="C21" s="32"/>
      <c r="D21" s="34" t="s">
        <v>31</v>
      </c>
      <c r="E21" s="33" t="s">
        <v>22</v>
      </c>
      <c r="F21" s="102">
        <f>3*26.8</f>
        <v>80.400000000000006</v>
      </c>
      <c r="G21" s="33"/>
      <c r="H21" s="83"/>
    </row>
    <row r="22" spans="1:8" x14ac:dyDescent="0.2">
      <c r="A22" s="15" t="str">
        <f>IF(C22=0,MAX($A$10:A21)+1," ")</f>
        <v xml:space="preserve"> </v>
      </c>
      <c r="B22" s="16"/>
      <c r="C22" s="17" t="s">
        <v>37</v>
      </c>
      <c r="D22" s="64" t="s">
        <v>38</v>
      </c>
      <c r="E22" s="64"/>
      <c r="F22" s="100"/>
      <c r="G22" s="64"/>
      <c r="H22" s="65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41</v>
      </c>
      <c r="D23" s="66" t="s">
        <v>39</v>
      </c>
      <c r="E23" s="66"/>
      <c r="F23" s="101"/>
      <c r="G23" s="66"/>
      <c r="H23" s="67"/>
    </row>
    <row r="24" spans="1:8" s="18" customFormat="1" ht="17.25" customHeight="1" x14ac:dyDescent="0.2">
      <c r="A24" s="23">
        <f>IF(C24=0,MAX($A$10:A23)+1," ")</f>
        <v>5</v>
      </c>
      <c r="B24" s="31"/>
      <c r="C24" s="32"/>
      <c r="D24" s="26" t="s">
        <v>123</v>
      </c>
      <c r="E24" s="33" t="s">
        <v>40</v>
      </c>
      <c r="F24" s="105">
        <v>1</v>
      </c>
      <c r="G24" s="33"/>
      <c r="H24" s="83"/>
    </row>
    <row r="25" spans="1:8" x14ac:dyDescent="0.2">
      <c r="A25" s="28" t="str">
        <f>IF(C25=0,MAX($A$10:A24)+1," ")</f>
        <v xml:space="preserve"> </v>
      </c>
      <c r="B25" s="29" t="s">
        <v>27</v>
      </c>
      <c r="C25" s="30" t="s">
        <v>42</v>
      </c>
      <c r="D25" s="66" t="s">
        <v>43</v>
      </c>
      <c r="E25" s="66"/>
      <c r="F25" s="101"/>
      <c r="G25" s="66"/>
      <c r="H25" s="67"/>
    </row>
    <row r="26" spans="1:8" s="18" customFormat="1" x14ac:dyDescent="0.2">
      <c r="A26" s="23">
        <f>IF(C26=0,MAX($A$10:A25)+1," ")</f>
        <v>6</v>
      </c>
      <c r="B26" s="31"/>
      <c r="C26" s="32"/>
      <c r="D26" s="26" t="s">
        <v>43</v>
      </c>
      <c r="E26" s="33" t="s">
        <v>40</v>
      </c>
      <c r="F26" s="105">
        <v>1</v>
      </c>
      <c r="G26" s="33"/>
      <c r="H26" s="83"/>
    </row>
    <row r="27" spans="1:8" x14ac:dyDescent="0.2">
      <c r="A27" s="15" t="str">
        <f>IF(C27=0,MAX($A$10:A21)+1," ")</f>
        <v xml:space="preserve"> </v>
      </c>
      <c r="B27" s="16"/>
      <c r="C27" s="17" t="s">
        <v>33</v>
      </c>
      <c r="D27" s="64" t="s">
        <v>34</v>
      </c>
      <c r="E27" s="64"/>
      <c r="F27" s="100"/>
      <c r="G27" s="64"/>
      <c r="H27" s="65"/>
    </row>
    <row r="28" spans="1:8" x14ac:dyDescent="0.2">
      <c r="A28" s="28" t="str">
        <f>IF(C28=0,MAX($A$10:A27)+1," ")</f>
        <v xml:space="preserve"> </v>
      </c>
      <c r="B28" s="29" t="s">
        <v>9</v>
      </c>
      <c r="C28" s="30" t="s">
        <v>35</v>
      </c>
      <c r="D28" s="66" t="s">
        <v>36</v>
      </c>
      <c r="E28" s="66"/>
      <c r="F28" s="101"/>
      <c r="G28" s="66"/>
      <c r="H28" s="67"/>
    </row>
    <row r="29" spans="1:8" s="18" customFormat="1" ht="108.75" customHeight="1" x14ac:dyDescent="0.2">
      <c r="A29" s="23">
        <f>IF(C29=0,MAX($A$10:A28)+1," ")</f>
        <v>7</v>
      </c>
      <c r="B29" s="31"/>
      <c r="C29" s="32"/>
      <c r="D29" s="26" t="s">
        <v>44</v>
      </c>
      <c r="E29" s="33" t="s">
        <v>22</v>
      </c>
      <c r="F29" s="102">
        <f>5*21.5</f>
        <v>107.5</v>
      </c>
      <c r="G29" s="33"/>
      <c r="H29" s="83"/>
    </row>
    <row r="30" spans="1:8" s="18" customFormat="1" ht="25.5" x14ac:dyDescent="0.2">
      <c r="A30" s="23">
        <f>IF(C30=0,MAX($A$10:A29)+1," ")</f>
        <v>8</v>
      </c>
      <c r="B30" s="31"/>
      <c r="C30" s="32"/>
      <c r="D30" s="34" t="s">
        <v>45</v>
      </c>
      <c r="E30" s="33" t="s">
        <v>8</v>
      </c>
      <c r="F30" s="104">
        <v>20.8</v>
      </c>
      <c r="G30" s="33"/>
      <c r="H30" s="83"/>
    </row>
    <row r="31" spans="1:8" s="18" customFormat="1" ht="16.5" thickBot="1" x14ac:dyDescent="0.25">
      <c r="A31" s="44">
        <f>IF(C31=0,MAX($A$10:A30)+1," ")</f>
        <v>9</v>
      </c>
      <c r="B31" s="45"/>
      <c r="C31" s="46"/>
      <c r="D31" s="92" t="s">
        <v>46</v>
      </c>
      <c r="E31" s="48" t="s">
        <v>21</v>
      </c>
      <c r="F31" s="114">
        <f>27.2*17.5</f>
        <v>476</v>
      </c>
      <c r="G31" s="33"/>
      <c r="H31" s="83"/>
    </row>
    <row r="32" spans="1:8" ht="21" customHeight="1" thickBot="1" x14ac:dyDescent="0.25">
      <c r="F32" s="112" t="s">
        <v>320</v>
      </c>
      <c r="G32" s="118"/>
      <c r="H32" s="119"/>
    </row>
    <row r="36" spans="1:11" x14ac:dyDescent="0.2">
      <c r="K36" s="97"/>
    </row>
    <row r="37" spans="1:11" s="7" customFormat="1" x14ac:dyDescent="0.2">
      <c r="A37" s="1"/>
      <c r="B37" s="2"/>
      <c r="C37" s="2"/>
      <c r="D37" s="40"/>
      <c r="F37" s="3"/>
      <c r="G37" s="2"/>
    </row>
  </sheetData>
  <mergeCells count="14">
    <mergeCell ref="A1:H1"/>
    <mergeCell ref="G6:H6"/>
    <mergeCell ref="G7:G8"/>
    <mergeCell ref="H7:H8"/>
    <mergeCell ref="G32:H32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H37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314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35*17</f>
        <v>595</v>
      </c>
      <c r="G13" s="25"/>
      <c r="H13" s="83"/>
    </row>
    <row r="14" spans="1:8" x14ac:dyDescent="0.2">
      <c r="A14" s="28" t="str">
        <f>IF(C14=0,MAX($A$10:A13)+1," ")</f>
        <v xml:space="preserve"> </v>
      </c>
      <c r="B14" s="29" t="s">
        <v>7</v>
      </c>
      <c r="C14" s="30" t="s">
        <v>47</v>
      </c>
      <c r="D14" s="66" t="s">
        <v>48</v>
      </c>
      <c r="E14" s="66"/>
      <c r="F14" s="101"/>
      <c r="G14" s="66"/>
      <c r="H14" s="67"/>
    </row>
    <row r="15" spans="1:8" ht="25.5" x14ac:dyDescent="0.2">
      <c r="A15" s="23">
        <f>IF(C15=0,MAX($A$10:A13)+1," ")</f>
        <v>2</v>
      </c>
      <c r="B15" s="24"/>
      <c r="C15" s="25"/>
      <c r="D15" s="26" t="s">
        <v>54</v>
      </c>
      <c r="E15" s="25" t="s">
        <v>21</v>
      </c>
      <c r="F15" s="102">
        <f>3.5*24</f>
        <v>84</v>
      </c>
      <c r="G15" s="25"/>
      <c r="H15" s="83"/>
    </row>
    <row r="16" spans="1:8" s="10" customFormat="1" ht="15.75" x14ac:dyDescent="0.2">
      <c r="A16" s="12" t="str">
        <f>IF(C16=0,MAX(#REF!)+1," ")</f>
        <v xml:space="preserve"> </v>
      </c>
      <c r="B16" s="13"/>
      <c r="C16" s="14" t="s">
        <v>23</v>
      </c>
      <c r="D16" s="62" t="s">
        <v>24</v>
      </c>
      <c r="E16" s="62"/>
      <c r="F16" s="103"/>
      <c r="G16" s="62"/>
      <c r="H16" s="63"/>
    </row>
    <row r="17" spans="1:8" x14ac:dyDescent="0.2">
      <c r="A17" s="15" t="str">
        <f>IF(C17=0,MAX($A$10:A16)+1," ")</f>
        <v xml:space="preserve"> </v>
      </c>
      <c r="B17" s="16"/>
      <c r="C17" s="17" t="s">
        <v>25</v>
      </c>
      <c r="D17" s="64" t="s">
        <v>24</v>
      </c>
      <c r="E17" s="64"/>
      <c r="F17" s="100"/>
      <c r="G17" s="64"/>
      <c r="H17" s="65"/>
    </row>
    <row r="18" spans="1:8" ht="27.75" customHeight="1" x14ac:dyDescent="0.2">
      <c r="A18" s="28" t="str">
        <f>IF(C18=0,MAX($A$10:A17)+1," ")</f>
        <v xml:space="preserve"> </v>
      </c>
      <c r="B18" s="29" t="s">
        <v>27</v>
      </c>
      <c r="C18" s="30" t="s">
        <v>122</v>
      </c>
      <c r="D18" s="66" t="s">
        <v>119</v>
      </c>
      <c r="E18" s="66"/>
      <c r="F18" s="101"/>
      <c r="G18" s="66"/>
      <c r="H18" s="67"/>
    </row>
    <row r="19" spans="1:8" s="18" customFormat="1" ht="25.5" x14ac:dyDescent="0.2">
      <c r="A19" s="23">
        <f>IF(C19=0,MAX($A$10:A17)+1," ")</f>
        <v>3</v>
      </c>
      <c r="B19" s="31"/>
      <c r="C19" s="32"/>
      <c r="D19" s="34" t="s">
        <v>30</v>
      </c>
      <c r="E19" s="33" t="s">
        <v>22</v>
      </c>
      <c r="F19" s="102">
        <f>8.5*2</f>
        <v>17</v>
      </c>
      <c r="G19" s="33"/>
      <c r="H19" s="83"/>
    </row>
    <row r="20" spans="1:8" x14ac:dyDescent="0.2">
      <c r="A20" s="28" t="str">
        <f>IF(C20=0,MAX($A$10:A19)+1," ")</f>
        <v xml:space="preserve"> </v>
      </c>
      <c r="B20" s="29" t="s">
        <v>27</v>
      </c>
      <c r="C20" s="30" t="s">
        <v>32</v>
      </c>
      <c r="D20" s="66" t="s">
        <v>121</v>
      </c>
      <c r="E20" s="66"/>
      <c r="F20" s="101"/>
      <c r="G20" s="66"/>
      <c r="H20" s="67"/>
    </row>
    <row r="21" spans="1:8" s="18" customFormat="1" ht="15.75" x14ac:dyDescent="0.2">
      <c r="A21" s="23">
        <f>IF(C21=0,MAX($A$10:A19)+1," ")</f>
        <v>4</v>
      </c>
      <c r="B21" s="31"/>
      <c r="C21" s="32"/>
      <c r="D21" s="34" t="s">
        <v>31</v>
      </c>
      <c r="E21" s="33" t="s">
        <v>22</v>
      </c>
      <c r="F21" s="102">
        <f>3*26.8</f>
        <v>80.400000000000006</v>
      </c>
      <c r="G21" s="33"/>
      <c r="H21" s="83"/>
    </row>
    <row r="22" spans="1:8" s="18" customFormat="1" ht="25.5" x14ac:dyDescent="0.2">
      <c r="A22" s="23">
        <f>IF(C22=0,MAX($A$10:A21)+1," ")</f>
        <v>5</v>
      </c>
      <c r="B22" s="31"/>
      <c r="C22" s="32"/>
      <c r="D22" s="34" t="s">
        <v>132</v>
      </c>
      <c r="E22" s="33" t="s">
        <v>22</v>
      </c>
      <c r="F22" s="102">
        <v>30</v>
      </c>
      <c r="G22" s="33"/>
      <c r="H22" s="83"/>
    </row>
    <row r="23" spans="1:8" x14ac:dyDescent="0.2">
      <c r="A23" s="15" t="str">
        <f>IF(C23=0,MAX($A$10:A21)+1," ")</f>
        <v xml:space="preserve"> </v>
      </c>
      <c r="B23" s="16"/>
      <c r="C23" s="17" t="s">
        <v>37</v>
      </c>
      <c r="D23" s="64" t="s">
        <v>38</v>
      </c>
      <c r="E23" s="64"/>
      <c r="F23" s="100"/>
      <c r="G23" s="64"/>
      <c r="H23" s="65"/>
    </row>
    <row r="24" spans="1:8" x14ac:dyDescent="0.2">
      <c r="A24" s="28" t="str">
        <f>IF(C24=0,MAX($A$10:A23)+1," ")</f>
        <v xml:space="preserve"> </v>
      </c>
      <c r="B24" s="29" t="s">
        <v>27</v>
      </c>
      <c r="C24" s="30" t="s">
        <v>41</v>
      </c>
      <c r="D24" s="66" t="s">
        <v>39</v>
      </c>
      <c r="E24" s="66"/>
      <c r="F24" s="101"/>
      <c r="G24" s="66"/>
      <c r="H24" s="67"/>
    </row>
    <row r="25" spans="1:8" s="18" customFormat="1" ht="17.25" customHeight="1" x14ac:dyDescent="0.2">
      <c r="A25" s="23">
        <f>IF(C25=0,MAX($A$10:A24)+1," ")</f>
        <v>6</v>
      </c>
      <c r="B25" s="31"/>
      <c r="C25" s="32"/>
      <c r="D25" s="26" t="s">
        <v>123</v>
      </c>
      <c r="E25" s="33" t="s">
        <v>40</v>
      </c>
      <c r="F25" s="105">
        <v>1</v>
      </c>
      <c r="G25" s="33"/>
      <c r="H25" s="83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42</v>
      </c>
      <c r="D26" s="66" t="s">
        <v>43</v>
      </c>
      <c r="E26" s="66"/>
      <c r="F26" s="101"/>
      <c r="G26" s="66"/>
      <c r="H26" s="67"/>
    </row>
    <row r="27" spans="1:8" s="18" customFormat="1" x14ac:dyDescent="0.2">
      <c r="A27" s="23">
        <f>IF(C27=0,MAX($A$10:A26)+1," ")</f>
        <v>7</v>
      </c>
      <c r="B27" s="31"/>
      <c r="C27" s="32"/>
      <c r="D27" s="26" t="s">
        <v>43</v>
      </c>
      <c r="E27" s="33" t="s">
        <v>40</v>
      </c>
      <c r="F27" s="105">
        <v>1</v>
      </c>
      <c r="G27" s="33"/>
      <c r="H27" s="83"/>
    </row>
    <row r="28" spans="1:8" x14ac:dyDescent="0.2">
      <c r="A28" s="15" t="str">
        <f>IF(C28=0,MAX($A$10:A21)+1," ")</f>
        <v xml:space="preserve"> </v>
      </c>
      <c r="B28" s="16"/>
      <c r="C28" s="17" t="s">
        <v>33</v>
      </c>
      <c r="D28" s="64" t="s">
        <v>34</v>
      </c>
      <c r="E28" s="64"/>
      <c r="F28" s="100"/>
      <c r="G28" s="64"/>
      <c r="H28" s="65"/>
    </row>
    <row r="29" spans="1:8" x14ac:dyDescent="0.2">
      <c r="A29" s="28" t="str">
        <f>IF(C29=0,MAX($A$10:A28)+1," ")</f>
        <v xml:space="preserve"> </v>
      </c>
      <c r="B29" s="29" t="s">
        <v>9</v>
      </c>
      <c r="C29" s="30" t="s">
        <v>35</v>
      </c>
      <c r="D29" s="66" t="s">
        <v>36</v>
      </c>
      <c r="E29" s="66"/>
      <c r="F29" s="101"/>
      <c r="G29" s="66"/>
      <c r="H29" s="67"/>
    </row>
    <row r="30" spans="1:8" s="18" customFormat="1" ht="25.5" x14ac:dyDescent="0.2">
      <c r="A30" s="23">
        <f>IF(C30=0,MAX($A$10:A29)+1," ")</f>
        <v>8</v>
      </c>
      <c r="B30" s="31"/>
      <c r="C30" s="32"/>
      <c r="D30" s="34" t="s">
        <v>45</v>
      </c>
      <c r="E30" s="33" t="s">
        <v>8</v>
      </c>
      <c r="F30" s="104">
        <v>19.8</v>
      </c>
      <c r="G30" s="33"/>
      <c r="H30" s="83"/>
    </row>
    <row r="31" spans="1:8" s="18" customFormat="1" ht="16.5" thickBot="1" x14ac:dyDescent="0.25">
      <c r="A31" s="44">
        <f>IF(C31=0,MAX($A$10:A30)+1," ")</f>
        <v>9</v>
      </c>
      <c r="B31" s="45"/>
      <c r="C31" s="46"/>
      <c r="D31" s="92" t="s">
        <v>46</v>
      </c>
      <c r="E31" s="48" t="s">
        <v>21</v>
      </c>
      <c r="F31" s="114">
        <f>25.2*17.8</f>
        <v>448.56</v>
      </c>
      <c r="G31" s="48"/>
      <c r="H31" s="93"/>
    </row>
    <row r="32" spans="1:8" ht="21" customHeight="1" thickBot="1" x14ac:dyDescent="0.25">
      <c r="F32" s="112" t="s">
        <v>320</v>
      </c>
      <c r="G32" s="135"/>
      <c r="H32" s="136"/>
    </row>
    <row r="37" spans="1:7" s="7" customFormat="1" x14ac:dyDescent="0.2">
      <c r="A37" s="1"/>
      <c r="B37" s="2"/>
      <c r="C37" s="2"/>
      <c r="D37" s="40"/>
      <c r="F37" s="3"/>
      <c r="G37" s="2"/>
    </row>
  </sheetData>
  <mergeCells count="14">
    <mergeCell ref="A1:H1"/>
    <mergeCell ref="G6:H6"/>
    <mergeCell ref="G7:G8"/>
    <mergeCell ref="H7:H8"/>
    <mergeCell ref="G32:H32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J36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315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23.9*15.4</f>
        <v>368.06</v>
      </c>
      <c r="G13" s="25"/>
      <c r="H13" s="83"/>
    </row>
    <row r="14" spans="1:8" s="10" customFormat="1" ht="15.75" x14ac:dyDescent="0.2">
      <c r="A14" s="12" t="str">
        <f>IF(C14=0,MAX(#REF!)+1," ")</f>
        <v xml:space="preserve"> </v>
      </c>
      <c r="B14" s="13"/>
      <c r="C14" s="14" t="s">
        <v>23</v>
      </c>
      <c r="D14" s="62" t="s">
        <v>24</v>
      </c>
      <c r="E14" s="62"/>
      <c r="F14" s="103"/>
      <c r="G14" s="62"/>
      <c r="H14" s="63"/>
    </row>
    <row r="15" spans="1:8" x14ac:dyDescent="0.2">
      <c r="A15" s="15" t="str">
        <f>IF(C15=0,MAX($A$10:A14)+1," ")</f>
        <v xml:space="preserve"> </v>
      </c>
      <c r="B15" s="16"/>
      <c r="C15" s="17" t="s">
        <v>25</v>
      </c>
      <c r="D15" s="64" t="s">
        <v>24</v>
      </c>
      <c r="E15" s="64"/>
      <c r="F15" s="100"/>
      <c r="G15" s="64"/>
      <c r="H15" s="65"/>
    </row>
    <row r="16" spans="1:8" x14ac:dyDescent="0.2">
      <c r="A16" s="28" t="str">
        <f>IF(C16=0,MAX($A$10:A15)+1," ")</f>
        <v xml:space="preserve"> </v>
      </c>
      <c r="B16" s="29" t="s">
        <v>27</v>
      </c>
      <c r="C16" s="30" t="s">
        <v>26</v>
      </c>
      <c r="D16" s="66" t="s">
        <v>28</v>
      </c>
      <c r="E16" s="66"/>
      <c r="F16" s="101"/>
      <c r="G16" s="66"/>
      <c r="H16" s="67"/>
    </row>
    <row r="17" spans="1:8" s="18" customFormat="1" x14ac:dyDescent="0.2">
      <c r="A17" s="23">
        <f>IF(C17=0,MAX($A$10:A16)+1," ")</f>
        <v>2</v>
      </c>
      <c r="B17" s="31"/>
      <c r="C17" s="32"/>
      <c r="D17" s="26" t="s">
        <v>29</v>
      </c>
      <c r="E17" s="33" t="s">
        <v>8</v>
      </c>
      <c r="F17" s="104">
        <f>2.97+3.24</f>
        <v>6.2100000000000009</v>
      </c>
      <c r="G17" s="33"/>
      <c r="H17" s="83"/>
    </row>
    <row r="18" spans="1:8" ht="12.75" customHeight="1" x14ac:dyDescent="0.2">
      <c r="A18" s="28" t="str">
        <f>IF(C18=0,MAX($A$10:A15)+1," ")</f>
        <v xml:space="preserve"> </v>
      </c>
      <c r="B18" s="29" t="s">
        <v>27</v>
      </c>
      <c r="C18" s="30" t="s">
        <v>122</v>
      </c>
      <c r="D18" s="66" t="s">
        <v>119</v>
      </c>
      <c r="E18" s="66"/>
      <c r="F18" s="101"/>
      <c r="G18" s="66"/>
      <c r="H18" s="67"/>
    </row>
    <row r="19" spans="1:8" s="18" customFormat="1" ht="25.5" x14ac:dyDescent="0.2">
      <c r="A19" s="23">
        <f>IF(C19=0,MAX($A$10:A17)+1," ")</f>
        <v>3</v>
      </c>
      <c r="B19" s="31"/>
      <c r="C19" s="32"/>
      <c r="D19" s="34" t="s">
        <v>30</v>
      </c>
      <c r="E19" s="33" t="s">
        <v>22</v>
      </c>
      <c r="F19" s="102">
        <v>20</v>
      </c>
      <c r="G19" s="33"/>
      <c r="H19" s="83"/>
    </row>
    <row r="20" spans="1:8" x14ac:dyDescent="0.2">
      <c r="A20" s="28" t="str">
        <f>IF(C20=0,MAX($A$10:A19)+1," ")</f>
        <v xml:space="preserve"> </v>
      </c>
      <c r="B20" s="29" t="s">
        <v>27</v>
      </c>
      <c r="C20" s="30" t="s">
        <v>32</v>
      </c>
      <c r="D20" s="66" t="s">
        <v>121</v>
      </c>
      <c r="E20" s="66"/>
      <c r="F20" s="101"/>
      <c r="G20" s="66"/>
      <c r="H20" s="67"/>
    </row>
    <row r="21" spans="1:8" s="18" customFormat="1" ht="15.75" x14ac:dyDescent="0.2">
      <c r="A21" s="23">
        <f>IF(C21=0,MAX($A$10:A19)+1," ")</f>
        <v>4</v>
      </c>
      <c r="B21" s="31"/>
      <c r="C21" s="32"/>
      <c r="D21" s="34" t="s">
        <v>31</v>
      </c>
      <c r="E21" s="33" t="s">
        <v>22</v>
      </c>
      <c r="F21" s="102">
        <f>2.5*22</f>
        <v>55</v>
      </c>
      <c r="G21" s="33"/>
      <c r="H21" s="83"/>
    </row>
    <row r="22" spans="1:8" x14ac:dyDescent="0.2">
      <c r="A22" s="15" t="str">
        <f>IF(C22=0,MAX($A$10:A21)+1," ")</f>
        <v xml:space="preserve"> </v>
      </c>
      <c r="B22" s="16"/>
      <c r="C22" s="17" t="s">
        <v>37</v>
      </c>
      <c r="D22" s="64" t="s">
        <v>38</v>
      </c>
      <c r="E22" s="64"/>
      <c r="F22" s="100"/>
      <c r="G22" s="64"/>
      <c r="H22" s="65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41</v>
      </c>
      <c r="D23" s="66" t="s">
        <v>39</v>
      </c>
      <c r="E23" s="66"/>
      <c r="F23" s="101"/>
      <c r="G23" s="66"/>
      <c r="H23" s="67"/>
    </row>
    <row r="24" spans="1:8" s="18" customFormat="1" ht="17.25" customHeight="1" x14ac:dyDescent="0.2">
      <c r="A24" s="23">
        <f>IF(C24=0,MAX($A$10:A23)+1," ")</f>
        <v>5</v>
      </c>
      <c r="B24" s="31"/>
      <c r="C24" s="32"/>
      <c r="D24" s="26" t="s">
        <v>123</v>
      </c>
      <c r="E24" s="33" t="s">
        <v>40</v>
      </c>
      <c r="F24" s="105">
        <v>1</v>
      </c>
      <c r="G24" s="33"/>
      <c r="H24" s="83"/>
    </row>
    <row r="25" spans="1:8" x14ac:dyDescent="0.2">
      <c r="A25" s="28" t="str">
        <f>IF(C25=0,MAX($A$10:A24)+1," ")</f>
        <v xml:space="preserve"> </v>
      </c>
      <c r="B25" s="29" t="s">
        <v>27</v>
      </c>
      <c r="C25" s="30" t="s">
        <v>42</v>
      </c>
      <c r="D25" s="66" t="s">
        <v>43</v>
      </c>
      <c r="E25" s="66"/>
      <c r="F25" s="101"/>
      <c r="G25" s="66"/>
      <c r="H25" s="67"/>
    </row>
    <row r="26" spans="1:8" s="18" customFormat="1" x14ac:dyDescent="0.2">
      <c r="A26" s="23">
        <f>IF(C26=0,MAX($A$10:A25)+1," ")</f>
        <v>6</v>
      </c>
      <c r="B26" s="31"/>
      <c r="C26" s="32"/>
      <c r="D26" s="26" t="s">
        <v>43</v>
      </c>
      <c r="E26" s="33" t="s">
        <v>40</v>
      </c>
      <c r="F26" s="105">
        <v>1</v>
      </c>
      <c r="G26" s="33"/>
      <c r="H26" s="83"/>
    </row>
    <row r="27" spans="1:8" x14ac:dyDescent="0.2">
      <c r="A27" s="15" t="str">
        <f>IF(C27=0,MAX($A$10:A21)+1," ")</f>
        <v xml:space="preserve"> </v>
      </c>
      <c r="B27" s="16"/>
      <c r="C27" s="17" t="s">
        <v>33</v>
      </c>
      <c r="D27" s="64" t="s">
        <v>34</v>
      </c>
      <c r="E27" s="64"/>
      <c r="F27" s="100"/>
      <c r="G27" s="64"/>
      <c r="H27" s="65"/>
    </row>
    <row r="28" spans="1:8" x14ac:dyDescent="0.2">
      <c r="A28" s="28" t="str">
        <f>IF(C28=0,MAX($A$10:A27)+1," ")</f>
        <v xml:space="preserve"> </v>
      </c>
      <c r="B28" s="29" t="s">
        <v>9</v>
      </c>
      <c r="C28" s="30" t="s">
        <v>35</v>
      </c>
      <c r="D28" s="66" t="s">
        <v>36</v>
      </c>
      <c r="E28" s="66"/>
      <c r="F28" s="101"/>
      <c r="G28" s="66"/>
      <c r="H28" s="67"/>
    </row>
    <row r="29" spans="1:8" s="18" customFormat="1" ht="25.5" x14ac:dyDescent="0.2">
      <c r="A29" s="23">
        <f>IF(C29=0,MAX($A$10:A28)+1," ")</f>
        <v>7</v>
      </c>
      <c r="B29" s="31"/>
      <c r="C29" s="32"/>
      <c r="D29" s="34" t="s">
        <v>45</v>
      </c>
      <c r="E29" s="33" t="s">
        <v>8</v>
      </c>
      <c r="F29" s="104">
        <v>17.8</v>
      </c>
      <c r="G29" s="33"/>
      <c r="H29" s="83"/>
    </row>
    <row r="30" spans="1:8" s="18" customFormat="1" ht="16.5" thickBot="1" x14ac:dyDescent="0.25">
      <c r="A30" s="44">
        <f>IF(C30=0,MAX($A$10:A29)+1," ")</f>
        <v>8</v>
      </c>
      <c r="B30" s="45"/>
      <c r="C30" s="46"/>
      <c r="D30" s="92" t="s">
        <v>46</v>
      </c>
      <c r="E30" s="48" t="s">
        <v>21</v>
      </c>
      <c r="F30" s="114">
        <f>20*15.4-3.8*15.4</f>
        <v>249.48000000000002</v>
      </c>
      <c r="G30" s="33"/>
      <c r="H30" s="83"/>
    </row>
    <row r="31" spans="1:8" ht="21" customHeight="1" thickBot="1" x14ac:dyDescent="0.25">
      <c r="F31" s="112" t="s">
        <v>320</v>
      </c>
      <c r="G31" s="118"/>
      <c r="H31" s="119"/>
    </row>
    <row r="34" spans="1:10" x14ac:dyDescent="0.2">
      <c r="J34" s="97"/>
    </row>
    <row r="36" spans="1:10" s="7" customFormat="1" x14ac:dyDescent="0.2">
      <c r="A36" s="1"/>
      <c r="B36" s="2"/>
      <c r="C36" s="2"/>
      <c r="D36" s="40"/>
      <c r="F36" s="3"/>
      <c r="G36" s="2"/>
    </row>
  </sheetData>
  <mergeCells count="14">
    <mergeCell ref="A1:H1"/>
    <mergeCell ref="G6:H6"/>
    <mergeCell ref="G7:G8"/>
    <mergeCell ref="H7:H8"/>
    <mergeCell ref="G31:H31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J37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133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33*19</f>
        <v>627</v>
      </c>
      <c r="G13" s="25"/>
      <c r="H13" s="83"/>
    </row>
    <row r="14" spans="1:8" s="10" customFormat="1" ht="15.75" x14ac:dyDescent="0.2">
      <c r="A14" s="12" t="str">
        <f>IF(C14=0,MAX(#REF!)+1," ")</f>
        <v xml:space="preserve"> </v>
      </c>
      <c r="B14" s="13"/>
      <c r="C14" s="14" t="s">
        <v>23</v>
      </c>
      <c r="D14" s="62" t="s">
        <v>24</v>
      </c>
      <c r="E14" s="62"/>
      <c r="F14" s="103"/>
      <c r="G14" s="62"/>
      <c r="H14" s="63"/>
    </row>
    <row r="15" spans="1:8" x14ac:dyDescent="0.2">
      <c r="A15" s="15" t="str">
        <f>IF(C15=0,MAX($A$10:A14)+1," ")</f>
        <v xml:space="preserve"> </v>
      </c>
      <c r="B15" s="16"/>
      <c r="C15" s="17" t="s">
        <v>25</v>
      </c>
      <c r="D15" s="64" t="s">
        <v>24</v>
      </c>
      <c r="E15" s="64"/>
      <c r="F15" s="100"/>
      <c r="G15" s="64"/>
      <c r="H15" s="65"/>
    </row>
    <row r="16" spans="1:8" x14ac:dyDescent="0.2">
      <c r="A16" s="28" t="str">
        <f>IF(C16=0,MAX($A$10:A15)+1," ")</f>
        <v xml:space="preserve"> </v>
      </c>
      <c r="B16" s="29" t="s">
        <v>27</v>
      </c>
      <c r="C16" s="30" t="s">
        <v>26</v>
      </c>
      <c r="D16" s="66" t="s">
        <v>28</v>
      </c>
      <c r="E16" s="66"/>
      <c r="F16" s="101"/>
      <c r="G16" s="66"/>
      <c r="H16" s="67"/>
    </row>
    <row r="17" spans="1:10" s="18" customFormat="1" x14ac:dyDescent="0.2">
      <c r="A17" s="23">
        <f>IF(C17=0,MAX($A$10:A16)+1," ")</f>
        <v>2</v>
      </c>
      <c r="B17" s="31"/>
      <c r="C17" s="32"/>
      <c r="D17" s="26" t="s">
        <v>29</v>
      </c>
      <c r="E17" s="33" t="s">
        <v>8</v>
      </c>
      <c r="F17" s="104">
        <f>2.7+3.78</f>
        <v>6.48</v>
      </c>
      <c r="G17" s="33"/>
      <c r="H17" s="83"/>
    </row>
    <row r="18" spans="1:10" ht="25.5" customHeight="1" x14ac:dyDescent="0.2">
      <c r="A18" s="28" t="str">
        <f>IF(C18=0,MAX($A$10:A15)+1," ")</f>
        <v xml:space="preserve"> </v>
      </c>
      <c r="B18" s="29" t="s">
        <v>27</v>
      </c>
      <c r="C18" s="30" t="s">
        <v>122</v>
      </c>
      <c r="D18" s="66" t="s">
        <v>119</v>
      </c>
      <c r="E18" s="66"/>
      <c r="F18" s="101"/>
      <c r="G18" s="66"/>
      <c r="H18" s="67"/>
    </row>
    <row r="19" spans="1:10" s="18" customFormat="1" ht="25.5" x14ac:dyDescent="0.2">
      <c r="A19" s="23">
        <f>IF(C19=0,MAX($A$10:A17)+1," ")</f>
        <v>3</v>
      </c>
      <c r="B19" s="31"/>
      <c r="C19" s="32"/>
      <c r="D19" s="34" t="s">
        <v>30</v>
      </c>
      <c r="E19" s="33" t="s">
        <v>22</v>
      </c>
      <c r="F19" s="102">
        <v>20</v>
      </c>
      <c r="G19" s="33"/>
      <c r="H19" s="83"/>
    </row>
    <row r="20" spans="1:10" x14ac:dyDescent="0.2">
      <c r="A20" s="28" t="str">
        <f>IF(C20=0,MAX($A$10:A19)+1," ")</f>
        <v xml:space="preserve"> </v>
      </c>
      <c r="B20" s="29" t="s">
        <v>27</v>
      </c>
      <c r="C20" s="30" t="s">
        <v>32</v>
      </c>
      <c r="D20" s="66" t="s">
        <v>121</v>
      </c>
      <c r="E20" s="66"/>
      <c r="F20" s="101"/>
      <c r="G20" s="66"/>
      <c r="H20" s="67"/>
    </row>
    <row r="21" spans="1:10" s="18" customFormat="1" ht="15.75" x14ac:dyDescent="0.2">
      <c r="A21" s="23">
        <f>IF(C21=0,MAX($A$10:A19)+1," ")</f>
        <v>4</v>
      </c>
      <c r="B21" s="31"/>
      <c r="C21" s="32"/>
      <c r="D21" s="34" t="s">
        <v>31</v>
      </c>
      <c r="E21" s="33" t="s">
        <v>22</v>
      </c>
      <c r="F21" s="102">
        <f>2.5*21.5+4.5*13</f>
        <v>112.25</v>
      </c>
      <c r="G21" s="33"/>
      <c r="H21" s="83"/>
    </row>
    <row r="22" spans="1:10" x14ac:dyDescent="0.2">
      <c r="A22" s="15" t="str">
        <f>IF(C22=0,MAX($A$10:A21)+1," ")</f>
        <v xml:space="preserve"> </v>
      </c>
      <c r="B22" s="16"/>
      <c r="C22" s="17" t="s">
        <v>37</v>
      </c>
      <c r="D22" s="64" t="s">
        <v>38</v>
      </c>
      <c r="E22" s="64"/>
      <c r="F22" s="100"/>
      <c r="G22" s="64"/>
      <c r="H22" s="65"/>
    </row>
    <row r="23" spans="1:10" x14ac:dyDescent="0.2">
      <c r="A23" s="28" t="str">
        <f>IF(C23=0,MAX($A$10:A22)+1," ")</f>
        <v xml:space="preserve"> </v>
      </c>
      <c r="B23" s="29" t="s">
        <v>27</v>
      </c>
      <c r="C23" s="30" t="s">
        <v>41</v>
      </c>
      <c r="D23" s="66" t="s">
        <v>39</v>
      </c>
      <c r="E23" s="66"/>
      <c r="F23" s="101"/>
      <c r="G23" s="66"/>
      <c r="H23" s="67"/>
    </row>
    <row r="24" spans="1:10" s="18" customFormat="1" ht="17.25" customHeight="1" x14ac:dyDescent="0.2">
      <c r="A24" s="23">
        <f>IF(C24=0,MAX($A$10:A23)+1," ")</f>
        <v>5</v>
      </c>
      <c r="B24" s="31"/>
      <c r="C24" s="32"/>
      <c r="D24" s="26" t="s">
        <v>123</v>
      </c>
      <c r="E24" s="33" t="s">
        <v>40</v>
      </c>
      <c r="F24" s="105">
        <v>1</v>
      </c>
      <c r="G24" s="33"/>
      <c r="H24" s="83"/>
    </row>
    <row r="25" spans="1:10" x14ac:dyDescent="0.2">
      <c r="A25" s="28" t="str">
        <f>IF(C25=0,MAX($A$10:A24)+1," ")</f>
        <v xml:space="preserve"> </v>
      </c>
      <c r="B25" s="29" t="s">
        <v>27</v>
      </c>
      <c r="C25" s="30" t="s">
        <v>42</v>
      </c>
      <c r="D25" s="66" t="s">
        <v>43</v>
      </c>
      <c r="E25" s="66"/>
      <c r="F25" s="101"/>
      <c r="G25" s="66"/>
      <c r="H25" s="67"/>
    </row>
    <row r="26" spans="1:10" s="18" customFormat="1" x14ac:dyDescent="0.2">
      <c r="A26" s="23">
        <f>IF(C26=0,MAX($A$10:A25)+1," ")</f>
        <v>6</v>
      </c>
      <c r="B26" s="31"/>
      <c r="C26" s="32"/>
      <c r="D26" s="26" t="s">
        <v>43</v>
      </c>
      <c r="E26" s="33" t="s">
        <v>40</v>
      </c>
      <c r="F26" s="105">
        <v>1</v>
      </c>
      <c r="G26" s="33"/>
      <c r="H26" s="83"/>
    </row>
    <row r="27" spans="1:10" x14ac:dyDescent="0.2">
      <c r="A27" s="15" t="str">
        <f>IF(C27=0,MAX($A$10:A21)+1," ")</f>
        <v xml:space="preserve"> </v>
      </c>
      <c r="B27" s="16"/>
      <c r="C27" s="17" t="s">
        <v>33</v>
      </c>
      <c r="D27" s="64" t="s">
        <v>34</v>
      </c>
      <c r="E27" s="64"/>
      <c r="F27" s="100"/>
      <c r="G27" s="64"/>
      <c r="H27" s="65"/>
    </row>
    <row r="28" spans="1:10" x14ac:dyDescent="0.2">
      <c r="A28" s="28" t="str">
        <f>IF(C28=0,MAX($A$10:A27)+1," ")</f>
        <v xml:space="preserve"> </v>
      </c>
      <c r="B28" s="29" t="s">
        <v>9</v>
      </c>
      <c r="C28" s="30" t="s">
        <v>35</v>
      </c>
      <c r="D28" s="66" t="s">
        <v>36</v>
      </c>
      <c r="E28" s="66"/>
      <c r="F28" s="101"/>
      <c r="G28" s="66"/>
      <c r="H28" s="67"/>
    </row>
    <row r="29" spans="1:10" s="18" customFormat="1" ht="108.75" customHeight="1" x14ac:dyDescent="0.2">
      <c r="A29" s="23">
        <f>IF(C29=0,MAX($A$10:A28)+1," ")</f>
        <v>7</v>
      </c>
      <c r="B29" s="31"/>
      <c r="C29" s="32"/>
      <c r="D29" s="26" t="s">
        <v>44</v>
      </c>
      <c r="E29" s="33" t="s">
        <v>22</v>
      </c>
      <c r="F29" s="102">
        <f>3.8*22.5</f>
        <v>85.5</v>
      </c>
      <c r="G29" s="33"/>
      <c r="H29" s="83"/>
    </row>
    <row r="30" spans="1:10" s="18" customFormat="1" ht="25.5" x14ac:dyDescent="0.2">
      <c r="A30" s="23">
        <f>IF(C30=0,MAX($A$10:A29)+1," ")</f>
        <v>8</v>
      </c>
      <c r="B30" s="31"/>
      <c r="C30" s="32"/>
      <c r="D30" s="34" t="s">
        <v>45</v>
      </c>
      <c r="E30" s="33" t="s">
        <v>8</v>
      </c>
      <c r="F30" s="104">
        <v>21.25</v>
      </c>
      <c r="G30" s="33"/>
      <c r="H30" s="83"/>
    </row>
    <row r="31" spans="1:10" s="18" customFormat="1" ht="16.5" thickBot="1" x14ac:dyDescent="0.25">
      <c r="A31" s="44">
        <f>IF(C31=0,MAX($A$10:A30)+1," ")</f>
        <v>9</v>
      </c>
      <c r="B31" s="45"/>
      <c r="C31" s="46"/>
      <c r="D31" s="92" t="s">
        <v>46</v>
      </c>
      <c r="E31" s="48" t="s">
        <v>21</v>
      </c>
      <c r="F31" s="114">
        <f>27.4*19-3.8*21.25</f>
        <v>439.85</v>
      </c>
      <c r="G31" s="48"/>
      <c r="H31" s="93"/>
    </row>
    <row r="32" spans="1:10" ht="15.75" customHeight="1" thickBot="1" x14ac:dyDescent="0.25">
      <c r="F32" s="112" t="s">
        <v>320</v>
      </c>
      <c r="G32" s="135"/>
      <c r="H32" s="136"/>
      <c r="J32" s="97"/>
    </row>
    <row r="37" spans="1:7" s="7" customFormat="1" x14ac:dyDescent="0.2">
      <c r="A37" s="1"/>
      <c r="B37" s="2"/>
      <c r="C37" s="2"/>
      <c r="D37" s="40"/>
      <c r="F37" s="3"/>
      <c r="G37" s="2"/>
    </row>
  </sheetData>
  <mergeCells count="14">
    <mergeCell ref="A1:H1"/>
    <mergeCell ref="G6:H6"/>
    <mergeCell ref="G7:G8"/>
    <mergeCell ref="H7:H8"/>
    <mergeCell ref="G32:H32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H46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53.14062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134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2.8*14</f>
        <v>39.199999999999996</v>
      </c>
      <c r="G13" s="25"/>
      <c r="H13" s="83"/>
    </row>
    <row r="14" spans="1:8" x14ac:dyDescent="0.2">
      <c r="A14" s="28" t="str">
        <f>IF(C14=0,MAX($A$10:A11)+1," ")</f>
        <v xml:space="preserve"> </v>
      </c>
      <c r="B14" s="29" t="s">
        <v>7</v>
      </c>
      <c r="C14" s="30" t="s">
        <v>55</v>
      </c>
      <c r="D14" s="66" t="s">
        <v>56</v>
      </c>
      <c r="E14" s="66"/>
      <c r="F14" s="101"/>
      <c r="G14" s="66"/>
      <c r="H14" s="67"/>
    </row>
    <row r="15" spans="1:8" ht="15.75" x14ac:dyDescent="0.2">
      <c r="A15" s="23">
        <f>IF(C15=0,MAX($A$10:A13)+1," ")</f>
        <v>2</v>
      </c>
      <c r="B15" s="24"/>
      <c r="C15" s="25"/>
      <c r="D15" s="26" t="s">
        <v>135</v>
      </c>
      <c r="E15" s="25" t="s">
        <v>21</v>
      </c>
      <c r="F15" s="102">
        <f>39.2-0.62*12.7</f>
        <v>31.326000000000004</v>
      </c>
      <c r="G15" s="25"/>
      <c r="H15" s="83"/>
    </row>
    <row r="16" spans="1:8" s="10" customFormat="1" ht="15.75" x14ac:dyDescent="0.2">
      <c r="A16" s="12" t="str">
        <f>IF(C16=0,MAX(#REF!)+1," ")</f>
        <v xml:space="preserve"> </v>
      </c>
      <c r="B16" s="13"/>
      <c r="C16" s="14" t="s">
        <v>58</v>
      </c>
      <c r="D16" s="62" t="s">
        <v>59</v>
      </c>
      <c r="E16" s="62"/>
      <c r="F16" s="103"/>
      <c r="G16" s="62"/>
      <c r="H16" s="63"/>
    </row>
    <row r="17" spans="1:8" x14ac:dyDescent="0.2">
      <c r="A17" s="15" t="str">
        <f>IF(C17=0,MAX($A$10:A16)+1," ")</f>
        <v xml:space="preserve"> </v>
      </c>
      <c r="B17" s="16"/>
      <c r="C17" s="17" t="s">
        <v>60</v>
      </c>
      <c r="D17" s="64" t="s">
        <v>61</v>
      </c>
      <c r="E17" s="64"/>
      <c r="F17" s="100"/>
      <c r="G17" s="64"/>
      <c r="H17" s="65"/>
    </row>
    <row r="18" spans="1:8" x14ac:dyDescent="0.2">
      <c r="A18" s="28" t="str">
        <f>IF(C18=0,MAX($A$10:A17)+1," ")</f>
        <v xml:space="preserve"> </v>
      </c>
      <c r="B18" s="29" t="s">
        <v>66</v>
      </c>
      <c r="C18" s="30" t="s">
        <v>63</v>
      </c>
      <c r="D18" s="66" t="s">
        <v>62</v>
      </c>
      <c r="E18" s="66"/>
      <c r="F18" s="101"/>
      <c r="G18" s="66"/>
      <c r="H18" s="67"/>
    </row>
    <row r="19" spans="1:8" x14ac:dyDescent="0.2">
      <c r="A19" s="23">
        <f>IF(C19=0,MAX($A$10:A17)+1," ")</f>
        <v>3</v>
      </c>
      <c r="B19" s="24"/>
      <c r="C19" s="25"/>
      <c r="D19" s="26" t="s">
        <v>64</v>
      </c>
      <c r="E19" s="25" t="s">
        <v>65</v>
      </c>
      <c r="F19" s="102">
        <v>1588</v>
      </c>
      <c r="G19" s="25"/>
      <c r="H19" s="83"/>
    </row>
    <row r="20" spans="1:8" s="10" customFormat="1" ht="15.75" x14ac:dyDescent="0.2">
      <c r="A20" s="12" t="str">
        <f>IF(C20=0,MAX(#REF!)+1," ")</f>
        <v xml:space="preserve"> </v>
      </c>
      <c r="B20" s="13"/>
      <c r="C20" s="14" t="s">
        <v>67</v>
      </c>
      <c r="D20" s="62" t="s">
        <v>68</v>
      </c>
      <c r="E20" s="62"/>
      <c r="F20" s="103"/>
      <c r="G20" s="62"/>
      <c r="H20" s="63"/>
    </row>
    <row r="21" spans="1:8" x14ac:dyDescent="0.2">
      <c r="A21" s="15" t="str">
        <f>IF(C21=0,MAX($A$10:A20)+1," ")</f>
        <v xml:space="preserve"> </v>
      </c>
      <c r="B21" s="16"/>
      <c r="C21" s="17" t="s">
        <v>69</v>
      </c>
      <c r="D21" s="64" t="s">
        <v>70</v>
      </c>
      <c r="E21" s="64"/>
      <c r="F21" s="100"/>
      <c r="G21" s="64"/>
      <c r="H21" s="65"/>
    </row>
    <row r="22" spans="1:8" x14ac:dyDescent="0.2">
      <c r="A22" s="28" t="str">
        <f>IF(C22=0,MAX($A$10:A21)+1," ")</f>
        <v xml:space="preserve"> </v>
      </c>
      <c r="B22" s="29" t="s">
        <v>66</v>
      </c>
      <c r="C22" s="30" t="s">
        <v>71</v>
      </c>
      <c r="D22" s="66" t="s">
        <v>95</v>
      </c>
      <c r="E22" s="66"/>
      <c r="F22" s="101"/>
      <c r="G22" s="66"/>
      <c r="H22" s="67"/>
    </row>
    <row r="23" spans="1:8" x14ac:dyDescent="0.2">
      <c r="A23" s="23">
        <f>IF(C23=0,MAX($A$10:A21)+1," ")</f>
        <v>4</v>
      </c>
      <c r="B23" s="24"/>
      <c r="C23" s="25"/>
      <c r="D23" s="26" t="s">
        <v>136</v>
      </c>
      <c r="E23" s="25" t="s">
        <v>73</v>
      </c>
      <c r="F23" s="104">
        <v>19.14</v>
      </c>
      <c r="G23" s="25"/>
      <c r="H23" s="83"/>
    </row>
    <row r="24" spans="1:8" x14ac:dyDescent="0.2">
      <c r="A24" s="15" t="str">
        <f>IF(C24=0,MAX($A$10:A23)+1," ")</f>
        <v xml:space="preserve"> </v>
      </c>
      <c r="B24" s="16"/>
      <c r="C24" s="17" t="s">
        <v>83</v>
      </c>
      <c r="D24" s="64" t="s">
        <v>80</v>
      </c>
      <c r="E24" s="64"/>
      <c r="F24" s="100"/>
      <c r="G24" s="64"/>
      <c r="H24" s="65"/>
    </row>
    <row r="25" spans="1:8" x14ac:dyDescent="0.2">
      <c r="A25" s="28" t="str">
        <f>IF(C25=0,MAX($A$10:A24)+1," ")</f>
        <v xml:space="preserve"> </v>
      </c>
      <c r="B25" s="29" t="s">
        <v>66</v>
      </c>
      <c r="C25" s="30" t="s">
        <v>84</v>
      </c>
      <c r="D25" s="66" t="s">
        <v>81</v>
      </c>
      <c r="E25" s="66"/>
      <c r="F25" s="101"/>
      <c r="G25" s="66"/>
      <c r="H25" s="67"/>
    </row>
    <row r="26" spans="1:8" x14ac:dyDescent="0.2">
      <c r="A26" s="23">
        <f>IF(C26=0,MAX($A$10:A24)+1," ")</f>
        <v>5</v>
      </c>
      <c r="B26" s="24"/>
      <c r="C26" s="25"/>
      <c r="D26" s="26" t="s">
        <v>94</v>
      </c>
      <c r="E26" s="25" t="s">
        <v>73</v>
      </c>
      <c r="F26" s="104">
        <f>13*1.2*0.15</f>
        <v>2.34</v>
      </c>
      <c r="G26" s="25"/>
      <c r="H26" s="83"/>
    </row>
    <row r="27" spans="1:8" s="10" customFormat="1" ht="15.75" x14ac:dyDescent="0.2">
      <c r="A27" s="12" t="str">
        <f>IF(C27=0,MAX(#REF!)+1," ")</f>
        <v xml:space="preserve"> </v>
      </c>
      <c r="B27" s="13"/>
      <c r="C27" s="14" t="s">
        <v>90</v>
      </c>
      <c r="D27" s="62" t="s">
        <v>91</v>
      </c>
      <c r="E27" s="62"/>
      <c r="F27" s="103"/>
      <c r="G27" s="62"/>
      <c r="H27" s="63"/>
    </row>
    <row r="28" spans="1:8" x14ac:dyDescent="0.2">
      <c r="A28" s="15" t="str">
        <f>IF(C28=0,MAX($A$10:A27)+1," ")</f>
        <v xml:space="preserve"> </v>
      </c>
      <c r="B28" s="16"/>
      <c r="C28" s="17" t="s">
        <v>92</v>
      </c>
      <c r="D28" s="64" t="s">
        <v>93</v>
      </c>
      <c r="E28" s="64"/>
      <c r="F28" s="100"/>
      <c r="G28" s="64"/>
      <c r="H28" s="65"/>
    </row>
    <row r="29" spans="1:8" x14ac:dyDescent="0.2">
      <c r="A29" s="28" t="str">
        <f>IF(C29=0,MAX($A$10:A28)+1," ")</f>
        <v xml:space="preserve"> </v>
      </c>
      <c r="B29" s="29" t="s">
        <v>66</v>
      </c>
      <c r="C29" s="30" t="s">
        <v>98</v>
      </c>
      <c r="D29" s="66" t="s">
        <v>97</v>
      </c>
      <c r="E29" s="66"/>
      <c r="F29" s="101"/>
      <c r="G29" s="66"/>
      <c r="H29" s="67"/>
    </row>
    <row r="30" spans="1:8" ht="18.75" customHeight="1" x14ac:dyDescent="0.2">
      <c r="A30" s="23">
        <f>IF(C30=0,MAX($A$10:A28)+1," ")</f>
        <v>6</v>
      </c>
      <c r="B30" s="24"/>
      <c r="C30" s="25"/>
      <c r="D30" s="26" t="s">
        <v>137</v>
      </c>
      <c r="E30" s="25" t="s">
        <v>110</v>
      </c>
      <c r="F30" s="104">
        <f>3.45*13</f>
        <v>44.85</v>
      </c>
      <c r="G30" s="25"/>
      <c r="H30" s="83"/>
    </row>
    <row r="31" spans="1:8" x14ac:dyDescent="0.2">
      <c r="A31" s="15" t="str">
        <f>IF(C31=0,MAX($A$10:A30)+1," ")</f>
        <v xml:space="preserve"> </v>
      </c>
      <c r="B31" s="16"/>
      <c r="C31" s="17" t="s">
        <v>111</v>
      </c>
      <c r="D31" s="64" t="s">
        <v>113</v>
      </c>
      <c r="E31" s="64"/>
      <c r="F31" s="100"/>
      <c r="G31" s="64"/>
      <c r="H31" s="65"/>
    </row>
    <row r="32" spans="1:8" x14ac:dyDescent="0.2">
      <c r="A32" s="28" t="str">
        <f>IF(C32=0,MAX($A$10:A31)+1," ")</f>
        <v xml:space="preserve"> </v>
      </c>
      <c r="B32" s="29" t="s">
        <v>66</v>
      </c>
      <c r="C32" s="30" t="s">
        <v>112</v>
      </c>
      <c r="D32" s="66" t="s">
        <v>114</v>
      </c>
      <c r="E32" s="66"/>
      <c r="F32" s="101"/>
      <c r="G32" s="66"/>
      <c r="H32" s="67"/>
    </row>
    <row r="33" spans="1:8" ht="15" customHeight="1" x14ac:dyDescent="0.2">
      <c r="A33" s="23">
        <f>IF(C33=0,MAX($A$10:A31)+1," ")</f>
        <v>7</v>
      </c>
      <c r="B33" s="24"/>
      <c r="C33" s="25"/>
      <c r="D33" s="26" t="s">
        <v>115</v>
      </c>
      <c r="E33" s="25" t="s">
        <v>110</v>
      </c>
      <c r="F33" s="104">
        <f>0.9*13</f>
        <v>11.700000000000001</v>
      </c>
      <c r="G33" s="25"/>
      <c r="H33" s="83"/>
    </row>
    <row r="34" spans="1:8" s="10" customFormat="1" ht="15.75" x14ac:dyDescent="0.2">
      <c r="A34" s="12" t="str">
        <f>IF(C34=0,MAX(#REF!)+1," ")</f>
        <v xml:space="preserve"> </v>
      </c>
      <c r="B34" s="13"/>
      <c r="C34" s="14" t="s">
        <v>126</v>
      </c>
      <c r="D34" s="62" t="s">
        <v>127</v>
      </c>
      <c r="E34" s="62"/>
      <c r="F34" s="103"/>
      <c r="G34" s="62"/>
      <c r="H34" s="63"/>
    </row>
    <row r="35" spans="1:8" x14ac:dyDescent="0.2">
      <c r="A35" s="28" t="str">
        <f>IF(C35=0,MAX($A$10:A34)+1," ")</f>
        <v xml:space="preserve"> </v>
      </c>
      <c r="B35" s="29" t="s">
        <v>66</v>
      </c>
      <c r="C35" s="30" t="s">
        <v>129</v>
      </c>
      <c r="D35" s="66" t="s">
        <v>128</v>
      </c>
      <c r="E35" s="66"/>
      <c r="F35" s="101"/>
      <c r="G35" s="66"/>
      <c r="H35" s="67"/>
    </row>
    <row r="36" spans="1:8" ht="15.75" customHeight="1" x14ac:dyDescent="0.2">
      <c r="A36" s="23">
        <f>IF(C36=0,MAX($A$10:A34)+1," ")</f>
        <v>8</v>
      </c>
      <c r="B36" s="24"/>
      <c r="C36" s="25"/>
      <c r="D36" s="26" t="s">
        <v>138</v>
      </c>
      <c r="E36" s="25" t="s">
        <v>65</v>
      </c>
      <c r="F36" s="104">
        <v>530.4</v>
      </c>
      <c r="G36" s="25"/>
      <c r="H36" s="83"/>
    </row>
    <row r="37" spans="1:8" s="10" customFormat="1" ht="15.75" x14ac:dyDescent="0.2">
      <c r="A37" s="12" t="str">
        <f>IF(C37=0,MAX(#REF!)+1," ")</f>
        <v xml:space="preserve"> </v>
      </c>
      <c r="B37" s="13"/>
      <c r="C37" s="14" t="s">
        <v>23</v>
      </c>
      <c r="D37" s="71" t="s">
        <v>24</v>
      </c>
      <c r="E37" s="72"/>
      <c r="F37" s="106"/>
      <c r="G37" s="72"/>
      <c r="H37" s="73"/>
    </row>
    <row r="38" spans="1:8" x14ac:dyDescent="0.2">
      <c r="A38" s="15" t="str">
        <f>IF(C38=0,MAX($A$10:A37)+1," ")</f>
        <v xml:space="preserve"> </v>
      </c>
      <c r="B38" s="16"/>
      <c r="C38" s="17" t="s">
        <v>37</v>
      </c>
      <c r="D38" s="64" t="s">
        <v>38</v>
      </c>
      <c r="E38" s="64"/>
      <c r="F38" s="100"/>
      <c r="G38" s="64"/>
      <c r="H38" s="65"/>
    </row>
    <row r="39" spans="1:8" x14ac:dyDescent="0.2">
      <c r="A39" s="28" t="str">
        <f>IF(C39=0,MAX($A$10:A38)+1," ")</f>
        <v xml:space="preserve"> </v>
      </c>
      <c r="B39" s="29" t="s">
        <v>27</v>
      </c>
      <c r="C39" s="30" t="s">
        <v>42</v>
      </c>
      <c r="D39" s="66" t="s">
        <v>43</v>
      </c>
      <c r="E39" s="66"/>
      <c r="F39" s="101"/>
      <c r="G39" s="66"/>
      <c r="H39" s="67"/>
    </row>
    <row r="40" spans="1:8" s="18" customFormat="1" ht="13.5" thickBot="1" x14ac:dyDescent="0.25">
      <c r="A40" s="44">
        <f>IF(C40=0,MAX($A$10:A39)+1," ")</f>
        <v>9</v>
      </c>
      <c r="B40" s="45"/>
      <c r="C40" s="46"/>
      <c r="D40" s="47" t="s">
        <v>43</v>
      </c>
      <c r="E40" s="48" t="s">
        <v>40</v>
      </c>
      <c r="F40" s="108">
        <v>1</v>
      </c>
      <c r="G40" s="48"/>
      <c r="H40" s="93"/>
    </row>
    <row r="41" spans="1:8" ht="21" customHeight="1" thickBot="1" x14ac:dyDescent="0.25">
      <c r="F41" s="112" t="s">
        <v>320</v>
      </c>
      <c r="G41" s="135"/>
      <c r="H41" s="136"/>
    </row>
    <row r="46" spans="1:8" s="7" customFormat="1" x14ac:dyDescent="0.2">
      <c r="A46" s="1"/>
      <c r="B46" s="2"/>
      <c r="C46" s="2"/>
      <c r="D46" s="40"/>
      <c r="F46" s="3"/>
      <c r="G46" s="2"/>
    </row>
  </sheetData>
  <mergeCells count="14">
    <mergeCell ref="A1:H1"/>
    <mergeCell ref="G6:H6"/>
    <mergeCell ref="G7:G8"/>
    <mergeCell ref="H7:H8"/>
    <mergeCell ref="G41:H41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H52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53.14062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291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8.3*(55+42)</f>
        <v>805.1</v>
      </c>
      <c r="G13" s="25"/>
      <c r="H13" s="83"/>
    </row>
    <row r="14" spans="1:8" x14ac:dyDescent="0.2">
      <c r="A14" s="28" t="str">
        <f>IF(C14=0,MAX($A$10:A11)+1," ")</f>
        <v xml:space="preserve"> </v>
      </c>
      <c r="B14" s="29" t="s">
        <v>7</v>
      </c>
      <c r="C14" s="30" t="s">
        <v>55</v>
      </c>
      <c r="D14" s="66" t="s">
        <v>56</v>
      </c>
      <c r="E14" s="66"/>
      <c r="F14" s="101"/>
      <c r="G14" s="66"/>
      <c r="H14" s="67"/>
    </row>
    <row r="15" spans="1:8" ht="15.75" x14ac:dyDescent="0.2">
      <c r="A15" s="23">
        <f>IF(C15=0,MAX($A$10:A13)+1," ")</f>
        <v>2</v>
      </c>
      <c r="B15" s="24"/>
      <c r="C15" s="25"/>
      <c r="D15" s="26" t="s">
        <v>135</v>
      </c>
      <c r="E15" s="25" t="s">
        <v>21</v>
      </c>
      <c r="F15" s="102">
        <f>1.5*(55+42)</f>
        <v>145.5</v>
      </c>
      <c r="G15" s="25"/>
      <c r="H15" s="83"/>
    </row>
    <row r="16" spans="1:8" x14ac:dyDescent="0.2">
      <c r="A16" s="15" t="str">
        <f>IF(C16=0,MAX($A$10:A10)+1," ")</f>
        <v xml:space="preserve"> </v>
      </c>
      <c r="B16" s="16"/>
      <c r="C16" s="17" t="s">
        <v>14</v>
      </c>
      <c r="D16" s="64" t="s">
        <v>17</v>
      </c>
      <c r="E16" s="64"/>
      <c r="F16" s="100"/>
      <c r="G16" s="64"/>
      <c r="H16" s="65"/>
    </row>
    <row r="17" spans="1:8" x14ac:dyDescent="0.2">
      <c r="A17" s="28" t="str">
        <f>IF(C17=0,MAX($A$10:A16)+1," ")</f>
        <v xml:space="preserve"> </v>
      </c>
      <c r="B17" s="29" t="s">
        <v>7</v>
      </c>
      <c r="C17" s="30" t="s">
        <v>18</v>
      </c>
      <c r="D17" s="66" t="s">
        <v>139</v>
      </c>
      <c r="E17" s="66"/>
      <c r="F17" s="101"/>
      <c r="G17" s="66"/>
      <c r="H17" s="67"/>
    </row>
    <row r="18" spans="1:8" ht="15.75" x14ac:dyDescent="0.2">
      <c r="A18" s="23">
        <f>IF(C18=0,MAX($A$10:A16)+1," ")</f>
        <v>3</v>
      </c>
      <c r="B18" s="24"/>
      <c r="C18" s="25"/>
      <c r="D18" s="26" t="s">
        <v>143</v>
      </c>
      <c r="E18" s="25" t="s">
        <v>22</v>
      </c>
      <c r="F18" s="102">
        <f>10*3.5+49.11*8+33*8+5.9*10</f>
        <v>750.88</v>
      </c>
      <c r="G18" s="25"/>
      <c r="H18" s="83"/>
    </row>
    <row r="19" spans="1:8" s="10" customFormat="1" ht="15.75" x14ac:dyDescent="0.2">
      <c r="A19" s="12" t="str">
        <f>IF(C19=0,MAX(#REF!)+1," ")</f>
        <v xml:space="preserve"> </v>
      </c>
      <c r="B19" s="13"/>
      <c r="C19" s="14" t="s">
        <v>58</v>
      </c>
      <c r="D19" s="71" t="s">
        <v>59</v>
      </c>
      <c r="E19" s="72"/>
      <c r="F19" s="106"/>
      <c r="G19" s="72"/>
      <c r="H19" s="73"/>
    </row>
    <row r="20" spans="1:8" x14ac:dyDescent="0.2">
      <c r="A20" s="15" t="str">
        <f>IF(C20=0,MAX($A$10:A19)+1," ")</f>
        <v xml:space="preserve"> </v>
      </c>
      <c r="B20" s="16"/>
      <c r="C20" s="17" t="s">
        <v>60</v>
      </c>
      <c r="D20" s="64" t="s">
        <v>61</v>
      </c>
      <c r="E20" s="64"/>
      <c r="F20" s="100"/>
      <c r="G20" s="64"/>
      <c r="H20" s="65"/>
    </row>
    <row r="21" spans="1:8" x14ac:dyDescent="0.2">
      <c r="A21" s="28" t="str">
        <f>IF(C21=0,MAX($A$10:A20)+1," ")</f>
        <v xml:space="preserve"> </v>
      </c>
      <c r="B21" s="29" t="s">
        <v>66</v>
      </c>
      <c r="C21" s="30" t="s">
        <v>63</v>
      </c>
      <c r="D21" s="66" t="s">
        <v>62</v>
      </c>
      <c r="E21" s="66"/>
      <c r="F21" s="101"/>
      <c r="G21" s="66"/>
      <c r="H21" s="67"/>
    </row>
    <row r="22" spans="1:8" x14ac:dyDescent="0.2">
      <c r="A22" s="23">
        <f>IF(C22=0,MAX($A$10:A20)+1," ")</f>
        <v>4</v>
      </c>
      <c r="B22" s="24"/>
      <c r="C22" s="25"/>
      <c r="D22" s="26" t="s">
        <v>64</v>
      </c>
      <c r="E22" s="25" t="s">
        <v>65</v>
      </c>
      <c r="F22" s="102">
        <f>4408.7+5674.7</f>
        <v>10083.4</v>
      </c>
      <c r="G22" s="25"/>
      <c r="H22" s="83"/>
    </row>
    <row r="23" spans="1:8" s="10" customFormat="1" ht="15.75" x14ac:dyDescent="0.2">
      <c r="A23" s="12" t="str">
        <f>IF(C23=0,MAX(#REF!)+1," ")</f>
        <v xml:space="preserve"> </v>
      </c>
      <c r="B23" s="13"/>
      <c r="C23" s="14" t="s">
        <v>67</v>
      </c>
      <c r="D23" s="62" t="s">
        <v>68</v>
      </c>
      <c r="E23" s="62"/>
      <c r="F23" s="103"/>
      <c r="G23" s="62"/>
      <c r="H23" s="63"/>
    </row>
    <row r="24" spans="1:8" x14ac:dyDescent="0.2">
      <c r="A24" s="15" t="str">
        <f>IF(C24=0,MAX($A$10:A23)+1," ")</f>
        <v xml:space="preserve"> </v>
      </c>
      <c r="B24" s="16"/>
      <c r="C24" s="17" t="s">
        <v>69</v>
      </c>
      <c r="D24" s="64" t="s">
        <v>70</v>
      </c>
      <c r="E24" s="64"/>
      <c r="F24" s="100"/>
      <c r="G24" s="64"/>
      <c r="H24" s="65"/>
    </row>
    <row r="25" spans="1:8" x14ac:dyDescent="0.2">
      <c r="A25" s="28" t="str">
        <f>IF(C25=0,MAX($A$10:A24)+1," ")</f>
        <v xml:space="preserve"> </v>
      </c>
      <c r="B25" s="29" t="s">
        <v>66</v>
      </c>
      <c r="C25" s="30" t="s">
        <v>71</v>
      </c>
      <c r="D25" s="66" t="s">
        <v>95</v>
      </c>
      <c r="E25" s="66"/>
      <c r="F25" s="101"/>
      <c r="G25" s="66"/>
      <c r="H25" s="67"/>
    </row>
    <row r="26" spans="1:8" x14ac:dyDescent="0.2">
      <c r="A26" s="23">
        <f>IF(C26=0,MAX($A$10:A24)+1," ")</f>
        <v>5</v>
      </c>
      <c r="B26" s="24"/>
      <c r="C26" s="25"/>
      <c r="D26" s="26" t="s">
        <v>144</v>
      </c>
      <c r="E26" s="25" t="s">
        <v>73</v>
      </c>
      <c r="F26" s="104">
        <f>52.03+37.5</f>
        <v>89.53</v>
      </c>
      <c r="G26" s="25"/>
      <c r="H26" s="83"/>
    </row>
    <row r="27" spans="1:8" x14ac:dyDescent="0.2">
      <c r="A27" s="15" t="str">
        <f>IF(C27=0,MAX($A$10:A26)+1," ")</f>
        <v xml:space="preserve"> </v>
      </c>
      <c r="B27" s="16"/>
      <c r="C27" s="17" t="s">
        <v>83</v>
      </c>
      <c r="D27" s="64" t="s">
        <v>80</v>
      </c>
      <c r="E27" s="64"/>
      <c r="F27" s="100"/>
      <c r="G27" s="64"/>
      <c r="H27" s="65"/>
    </row>
    <row r="28" spans="1:8" x14ac:dyDescent="0.2">
      <c r="A28" s="28" t="str">
        <f>IF(C28=0,MAX($A$10:A27)+1," ")</f>
        <v xml:space="preserve"> </v>
      </c>
      <c r="B28" s="29" t="s">
        <v>66</v>
      </c>
      <c r="C28" s="30" t="s">
        <v>84</v>
      </c>
      <c r="D28" s="66" t="s">
        <v>81</v>
      </c>
      <c r="E28" s="66"/>
      <c r="F28" s="101"/>
      <c r="G28" s="66"/>
      <c r="H28" s="67"/>
    </row>
    <row r="29" spans="1:8" x14ac:dyDescent="0.2">
      <c r="A29" s="23">
        <f>IF(C29=0,MAX($A$10:A27)+1," ")</f>
        <v>6</v>
      </c>
      <c r="B29" s="24"/>
      <c r="C29" s="25"/>
      <c r="D29" s="26" t="s">
        <v>94</v>
      </c>
      <c r="E29" s="25" t="s">
        <v>73</v>
      </c>
      <c r="F29" s="104">
        <f>0.71*(39+52.7)*0.1</f>
        <v>6.5106999999999999</v>
      </c>
      <c r="G29" s="25"/>
      <c r="H29" s="83"/>
    </row>
    <row r="30" spans="1:8" s="10" customFormat="1" ht="15.75" x14ac:dyDescent="0.2">
      <c r="A30" s="12" t="str">
        <f>IF(C30=0,MAX(#REF!)+1," ")</f>
        <v xml:space="preserve"> </v>
      </c>
      <c r="B30" s="13"/>
      <c r="C30" s="14" t="s">
        <v>90</v>
      </c>
      <c r="D30" s="62" t="s">
        <v>91</v>
      </c>
      <c r="E30" s="62"/>
      <c r="F30" s="103"/>
      <c r="G30" s="62"/>
      <c r="H30" s="63"/>
    </row>
    <row r="31" spans="1:8" x14ac:dyDescent="0.2">
      <c r="A31" s="15" t="str">
        <f>IF(C31=0,MAX($A$10:A30)+1," ")</f>
        <v xml:space="preserve"> </v>
      </c>
      <c r="B31" s="16"/>
      <c r="C31" s="17" t="s">
        <v>92</v>
      </c>
      <c r="D31" s="64" t="s">
        <v>93</v>
      </c>
      <c r="E31" s="64"/>
      <c r="F31" s="100"/>
      <c r="G31" s="64"/>
      <c r="H31" s="65"/>
    </row>
    <row r="32" spans="1:8" x14ac:dyDescent="0.2">
      <c r="A32" s="28" t="str">
        <f>IF(C32=0,MAX($A$10:A31)+1," ")</f>
        <v xml:space="preserve"> </v>
      </c>
      <c r="B32" s="29" t="s">
        <v>66</v>
      </c>
      <c r="C32" s="30" t="s">
        <v>98</v>
      </c>
      <c r="D32" s="66" t="s">
        <v>97</v>
      </c>
      <c r="E32" s="66"/>
      <c r="F32" s="101"/>
      <c r="G32" s="66"/>
      <c r="H32" s="67"/>
    </row>
    <row r="33" spans="1:8" ht="18.75" customHeight="1" x14ac:dyDescent="0.2">
      <c r="A33" s="23">
        <f>IF(C33=0,MAX($A$10:A31)+1," ")</f>
        <v>7</v>
      </c>
      <c r="B33" s="24"/>
      <c r="C33" s="25"/>
      <c r="D33" s="26" t="s">
        <v>137</v>
      </c>
      <c r="E33" s="25" t="s">
        <v>110</v>
      </c>
      <c r="F33" s="104">
        <f>1.2*(39+52.7)</f>
        <v>110.04</v>
      </c>
      <c r="G33" s="25"/>
      <c r="H33" s="83"/>
    </row>
    <row r="34" spans="1:8" x14ac:dyDescent="0.2">
      <c r="A34" s="15" t="str">
        <f>IF(C34=0,MAX($A$10:A33)+1," ")</f>
        <v xml:space="preserve"> </v>
      </c>
      <c r="B34" s="16"/>
      <c r="C34" s="17" t="s">
        <v>105</v>
      </c>
      <c r="D34" s="64" t="s">
        <v>106</v>
      </c>
      <c r="E34" s="64"/>
      <c r="F34" s="100"/>
      <c r="G34" s="64"/>
      <c r="H34" s="65"/>
    </row>
    <row r="35" spans="1:8" x14ac:dyDescent="0.2">
      <c r="A35" s="28" t="str">
        <f>IF(C35=0,MAX($A$10:A34)+1," ")</f>
        <v xml:space="preserve"> </v>
      </c>
      <c r="B35" s="29" t="s">
        <v>66</v>
      </c>
      <c r="C35" s="30" t="s">
        <v>108</v>
      </c>
      <c r="D35" s="66" t="s">
        <v>107</v>
      </c>
      <c r="E35" s="66"/>
      <c r="F35" s="101"/>
      <c r="G35" s="66"/>
      <c r="H35" s="67"/>
    </row>
    <row r="36" spans="1:8" ht="15" customHeight="1" x14ac:dyDescent="0.2">
      <c r="A36" s="23">
        <f>IF(C36=0,MAX($A$10:A34)+1," ")</f>
        <v>8</v>
      </c>
      <c r="B36" s="24"/>
      <c r="C36" s="25"/>
      <c r="D36" s="26" t="s">
        <v>109</v>
      </c>
      <c r="E36" s="25" t="s">
        <v>110</v>
      </c>
      <c r="F36" s="104">
        <f>0.53*(39+52.7)</f>
        <v>48.601000000000006</v>
      </c>
      <c r="G36" s="25"/>
      <c r="H36" s="83"/>
    </row>
    <row r="37" spans="1:8" x14ac:dyDescent="0.2">
      <c r="A37" s="15" t="str">
        <f>IF(C37=0,MAX($A$10:A33)+1," ")</f>
        <v xml:space="preserve"> </v>
      </c>
      <c r="B37" s="16"/>
      <c r="C37" s="17" t="s">
        <v>111</v>
      </c>
      <c r="D37" s="64" t="s">
        <v>113</v>
      </c>
      <c r="E37" s="64"/>
      <c r="F37" s="100"/>
      <c r="G37" s="64"/>
      <c r="H37" s="65"/>
    </row>
    <row r="38" spans="1:8" x14ac:dyDescent="0.2">
      <c r="A38" s="28" t="str">
        <f>IF(C38=0,MAX($A$10:A37)+1," ")</f>
        <v xml:space="preserve"> </v>
      </c>
      <c r="B38" s="29" t="s">
        <v>66</v>
      </c>
      <c r="C38" s="30" t="s">
        <v>112</v>
      </c>
      <c r="D38" s="66" t="s">
        <v>114</v>
      </c>
      <c r="E38" s="66"/>
      <c r="F38" s="101"/>
      <c r="G38" s="66"/>
      <c r="H38" s="67"/>
    </row>
    <row r="39" spans="1:8" ht="15" customHeight="1" x14ac:dyDescent="0.2">
      <c r="A39" s="23">
        <f>IF(C39=0,MAX($A$10:A37)+1," ")</f>
        <v>9</v>
      </c>
      <c r="B39" s="24"/>
      <c r="C39" s="25"/>
      <c r="D39" s="26" t="s">
        <v>115</v>
      </c>
      <c r="E39" s="25" t="s">
        <v>110</v>
      </c>
      <c r="F39" s="104">
        <f>126+90</f>
        <v>216</v>
      </c>
      <c r="G39" s="25"/>
      <c r="H39" s="83"/>
    </row>
    <row r="40" spans="1:8" s="10" customFormat="1" ht="15.75" x14ac:dyDescent="0.2">
      <c r="A40" s="12" t="str">
        <f>IF(C40=0,MAX(#REF!)+1," ")</f>
        <v xml:space="preserve"> </v>
      </c>
      <c r="B40" s="13"/>
      <c r="C40" s="14" t="s">
        <v>126</v>
      </c>
      <c r="D40" s="62" t="s">
        <v>127</v>
      </c>
      <c r="E40" s="62"/>
      <c r="F40" s="103"/>
      <c r="G40" s="62"/>
      <c r="H40" s="63"/>
    </row>
    <row r="41" spans="1:8" x14ac:dyDescent="0.2">
      <c r="A41" s="28" t="str">
        <f>IF(C41=0,MAX($A$10:A40)+1," ")</f>
        <v xml:space="preserve"> </v>
      </c>
      <c r="B41" s="29" t="s">
        <v>66</v>
      </c>
      <c r="C41" s="30" t="s">
        <v>129</v>
      </c>
      <c r="D41" s="66" t="s">
        <v>128</v>
      </c>
      <c r="E41" s="66"/>
      <c r="F41" s="101"/>
      <c r="G41" s="66"/>
      <c r="H41" s="67"/>
    </row>
    <row r="42" spans="1:8" ht="15.75" customHeight="1" x14ac:dyDescent="0.2">
      <c r="A42" s="23">
        <f>IF(C42=0,MAX($A$10:A40)+1," ")</f>
        <v>10</v>
      </c>
      <c r="B42" s="24"/>
      <c r="C42" s="25"/>
      <c r="D42" s="26" t="s">
        <v>138</v>
      </c>
      <c r="E42" s="25" t="s">
        <v>65</v>
      </c>
      <c r="F42" s="104">
        <f>25.7*(39+52.7)</f>
        <v>2356.69</v>
      </c>
      <c r="G42" s="25"/>
      <c r="H42" s="83"/>
    </row>
    <row r="43" spans="1:8" s="10" customFormat="1" ht="15.75" x14ac:dyDescent="0.2">
      <c r="A43" s="12" t="str">
        <f>IF(C43=0,MAX(#REF!)+1," ")</f>
        <v xml:space="preserve"> </v>
      </c>
      <c r="B43" s="13"/>
      <c r="C43" s="14" t="s">
        <v>23</v>
      </c>
      <c r="D43" s="71" t="s">
        <v>24</v>
      </c>
      <c r="E43" s="72"/>
      <c r="F43" s="106"/>
      <c r="G43" s="72"/>
      <c r="H43" s="73"/>
    </row>
    <row r="44" spans="1:8" x14ac:dyDescent="0.2">
      <c r="A44" s="15" t="str">
        <f>IF(C44=0,MAX($A$10:A43)+1," ")</f>
        <v xml:space="preserve"> </v>
      </c>
      <c r="B44" s="16"/>
      <c r="C44" s="17" t="s">
        <v>37</v>
      </c>
      <c r="D44" s="64" t="s">
        <v>38</v>
      </c>
      <c r="E44" s="64"/>
      <c r="F44" s="100"/>
      <c r="G44" s="64"/>
      <c r="H44" s="65"/>
    </row>
    <row r="45" spans="1:8" x14ac:dyDescent="0.2">
      <c r="A45" s="28" t="str">
        <f>IF(C45=0,MAX($A$10:A44)+1," ")</f>
        <v xml:space="preserve"> </v>
      </c>
      <c r="B45" s="29" t="s">
        <v>27</v>
      </c>
      <c r="C45" s="30" t="s">
        <v>42</v>
      </c>
      <c r="D45" s="66" t="s">
        <v>43</v>
      </c>
      <c r="E45" s="66"/>
      <c r="F45" s="101"/>
      <c r="G45" s="66"/>
      <c r="H45" s="67"/>
    </row>
    <row r="46" spans="1:8" s="18" customFormat="1" ht="13.5" thickBot="1" x14ac:dyDescent="0.25">
      <c r="A46" s="44">
        <f>IF(C46=0,MAX($A$10:A45)+1," ")</f>
        <v>11</v>
      </c>
      <c r="B46" s="45"/>
      <c r="C46" s="46"/>
      <c r="D46" s="47" t="s">
        <v>43</v>
      </c>
      <c r="E46" s="48" t="s">
        <v>40</v>
      </c>
      <c r="F46" s="108">
        <v>1</v>
      </c>
      <c r="G46" s="48"/>
      <c r="H46" s="93"/>
    </row>
    <row r="47" spans="1:8" ht="21" customHeight="1" thickBot="1" x14ac:dyDescent="0.25">
      <c r="F47" s="112" t="s">
        <v>320</v>
      </c>
      <c r="G47" s="118"/>
      <c r="H47" s="119"/>
    </row>
    <row r="52" spans="1:7" s="7" customFormat="1" x14ac:dyDescent="0.2">
      <c r="A52" s="1"/>
      <c r="B52" s="2"/>
      <c r="C52" s="2"/>
      <c r="D52" s="40"/>
      <c r="F52" s="3"/>
      <c r="G52" s="2"/>
    </row>
  </sheetData>
  <mergeCells count="14">
    <mergeCell ref="A1:H1"/>
    <mergeCell ref="G6:H6"/>
    <mergeCell ref="G7:G8"/>
    <mergeCell ref="H7:H8"/>
    <mergeCell ref="G47:H47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H244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4.8554687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324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x14ac:dyDescent="0.2">
      <c r="A9" s="152">
        <v>1</v>
      </c>
      <c r="B9" s="153">
        <v>2</v>
      </c>
      <c r="C9" s="153">
        <v>3</v>
      </c>
      <c r="D9" s="153">
        <v>4</v>
      </c>
      <c r="E9" s="153">
        <v>5</v>
      </c>
      <c r="F9" s="154">
        <v>6</v>
      </c>
      <c r="G9" s="153">
        <v>7</v>
      </c>
      <c r="H9" s="154">
        <v>8</v>
      </c>
    </row>
    <row r="10" spans="1:8" s="10" customFormat="1" ht="15.75" x14ac:dyDescent="0.2">
      <c r="A10" s="77" t="str">
        <f>IF(C10=0,MAX(#REF!)+1," ")</f>
        <v xml:space="preserve"> </v>
      </c>
      <c r="B10" s="78"/>
      <c r="C10" s="79" t="s">
        <v>10</v>
      </c>
      <c r="D10" s="150" t="s">
        <v>11</v>
      </c>
      <c r="E10" s="150"/>
      <c r="F10" s="151"/>
      <c r="G10" s="150"/>
      <c r="H10" s="15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21" customHeight="1" x14ac:dyDescent="0.2">
      <c r="A13" s="23">
        <f>IF(C13=0,MAX($A$10:A11)+1," ")</f>
        <v>1</v>
      </c>
      <c r="B13" s="24"/>
      <c r="C13" s="25"/>
      <c r="D13" s="53" t="s">
        <v>16</v>
      </c>
      <c r="E13" s="54" t="s">
        <v>73</v>
      </c>
      <c r="F13" s="55">
        <f>SUM(F14:F62)</f>
        <v>14446.428</v>
      </c>
      <c r="G13" s="54"/>
      <c r="H13" s="98"/>
    </row>
    <row r="14" spans="1:8" x14ac:dyDescent="0.2">
      <c r="A14" s="42"/>
      <c r="B14" s="50"/>
      <c r="C14" s="51"/>
      <c r="D14" s="43" t="s">
        <v>192</v>
      </c>
      <c r="E14" s="52" t="s">
        <v>73</v>
      </c>
      <c r="F14" s="56">
        <f>8*15</f>
        <v>120</v>
      </c>
      <c r="G14" s="52"/>
      <c r="H14" s="56"/>
    </row>
    <row r="15" spans="1:8" x14ac:dyDescent="0.2">
      <c r="A15" s="42"/>
      <c r="B15" s="50"/>
      <c r="C15" s="51"/>
      <c r="D15" s="43" t="s">
        <v>193</v>
      </c>
      <c r="E15" s="52" t="s">
        <v>73</v>
      </c>
      <c r="F15" s="56">
        <f>15*18</f>
        <v>270</v>
      </c>
      <c r="G15" s="52"/>
      <c r="H15" s="56"/>
    </row>
    <row r="16" spans="1:8" x14ac:dyDescent="0.2">
      <c r="A16" s="42"/>
      <c r="B16" s="50"/>
      <c r="C16" s="51"/>
      <c r="D16" s="43" t="s">
        <v>194</v>
      </c>
      <c r="E16" s="52" t="s">
        <v>73</v>
      </c>
      <c r="F16" s="56">
        <f>20.5*17</f>
        <v>348.5</v>
      </c>
      <c r="G16" s="52"/>
      <c r="H16" s="56"/>
    </row>
    <row r="17" spans="1:8" x14ac:dyDescent="0.2">
      <c r="A17" s="42"/>
      <c r="B17" s="50"/>
      <c r="C17" s="51"/>
      <c r="D17" s="43" t="s">
        <v>195</v>
      </c>
      <c r="E17" s="52" t="s">
        <v>73</v>
      </c>
      <c r="F17" s="56">
        <f>14.06*15.5</f>
        <v>217.93</v>
      </c>
      <c r="G17" s="52"/>
      <c r="H17" s="56"/>
    </row>
    <row r="18" spans="1:8" x14ac:dyDescent="0.2">
      <c r="A18" s="42"/>
      <c r="B18" s="50"/>
      <c r="C18" s="51"/>
      <c r="D18" s="43" t="s">
        <v>196</v>
      </c>
      <c r="E18" s="52" t="s">
        <v>73</v>
      </c>
      <c r="F18" s="56">
        <f>9.4*16</f>
        <v>150.4</v>
      </c>
      <c r="G18" s="52"/>
      <c r="H18" s="56"/>
    </row>
    <row r="19" spans="1:8" x14ac:dyDescent="0.2">
      <c r="A19" s="42"/>
      <c r="B19" s="50"/>
      <c r="C19" s="51"/>
      <c r="D19" s="43" t="s">
        <v>197</v>
      </c>
      <c r="E19" s="52" t="s">
        <v>73</v>
      </c>
      <c r="F19" s="56">
        <f>12.3*16.5+4.7*6*18</f>
        <v>710.55000000000007</v>
      </c>
      <c r="G19" s="52"/>
      <c r="H19" s="56"/>
    </row>
    <row r="20" spans="1:8" x14ac:dyDescent="0.2">
      <c r="A20" s="42"/>
      <c r="B20" s="50"/>
      <c r="C20" s="51"/>
      <c r="D20" s="43" t="s">
        <v>198</v>
      </c>
      <c r="E20" s="52" t="s">
        <v>73</v>
      </c>
      <c r="F20" s="56">
        <f>25.7*14+1.13*6*23</f>
        <v>515.74</v>
      </c>
      <c r="G20" s="52"/>
      <c r="H20" s="56"/>
    </row>
    <row r="21" spans="1:8" x14ac:dyDescent="0.2">
      <c r="A21" s="42"/>
      <c r="B21" s="50"/>
      <c r="C21" s="51"/>
      <c r="D21" s="43" t="s">
        <v>199</v>
      </c>
      <c r="E21" s="52" t="s">
        <v>73</v>
      </c>
      <c r="F21" s="56">
        <f>12.4*17.5+1.27*6*20</f>
        <v>369.4</v>
      </c>
      <c r="G21" s="52"/>
      <c r="H21" s="56"/>
    </row>
    <row r="22" spans="1:8" x14ac:dyDescent="0.2">
      <c r="A22" s="42"/>
      <c r="B22" s="50"/>
      <c r="C22" s="51"/>
      <c r="D22" s="43" t="s">
        <v>200</v>
      </c>
      <c r="E22" s="52" t="s">
        <v>73</v>
      </c>
      <c r="F22" s="56">
        <f>15.2*17+2.3*6*20</f>
        <v>534.4</v>
      </c>
      <c r="G22" s="52"/>
      <c r="H22" s="56"/>
    </row>
    <row r="23" spans="1:8" x14ac:dyDescent="0.2">
      <c r="A23" s="42"/>
      <c r="B23" s="50"/>
      <c r="C23" s="51"/>
      <c r="D23" s="43" t="s">
        <v>201</v>
      </c>
      <c r="E23" s="52" t="s">
        <v>73</v>
      </c>
      <c r="F23" s="56">
        <f>17.4*15.7</f>
        <v>273.17999999999995</v>
      </c>
      <c r="G23" s="52"/>
      <c r="H23" s="56"/>
    </row>
    <row r="24" spans="1:8" x14ac:dyDescent="0.2">
      <c r="A24" s="42"/>
      <c r="B24" s="50"/>
      <c r="C24" s="51"/>
      <c r="D24" s="43" t="s">
        <v>202</v>
      </c>
      <c r="E24" s="52" t="s">
        <v>73</v>
      </c>
      <c r="F24" s="56">
        <f>12.3*15.2+1.32*6*17</f>
        <v>321.60000000000002</v>
      </c>
      <c r="G24" s="52"/>
      <c r="H24" s="56"/>
    </row>
    <row r="25" spans="1:8" x14ac:dyDescent="0.2">
      <c r="A25" s="42"/>
      <c r="B25" s="50"/>
      <c r="C25" s="51"/>
      <c r="D25" s="43" t="s">
        <v>203</v>
      </c>
      <c r="E25" s="52" t="s">
        <v>73</v>
      </c>
      <c r="F25" s="56">
        <f>17.7*18+1.35*6*21</f>
        <v>488.7</v>
      </c>
      <c r="G25" s="52"/>
      <c r="H25" s="56"/>
    </row>
    <row r="26" spans="1:8" x14ac:dyDescent="0.2">
      <c r="A26" s="42"/>
      <c r="B26" s="50"/>
      <c r="C26" s="51"/>
      <c r="D26" s="43" t="s">
        <v>204</v>
      </c>
      <c r="E26" s="52" t="s">
        <v>73</v>
      </c>
      <c r="F26" s="56">
        <f>14.1*16</f>
        <v>225.6</v>
      </c>
      <c r="G26" s="52"/>
      <c r="H26" s="56"/>
    </row>
    <row r="27" spans="1:8" x14ac:dyDescent="0.2">
      <c r="A27" s="42"/>
      <c r="B27" s="50"/>
      <c r="C27" s="51"/>
      <c r="D27" s="43" t="s">
        <v>205</v>
      </c>
      <c r="E27" s="52" t="s">
        <v>73</v>
      </c>
      <c r="F27" s="56">
        <f>8.4*16.6+1.62*6*19</f>
        <v>324.12</v>
      </c>
      <c r="G27" s="52"/>
      <c r="H27" s="56"/>
    </row>
    <row r="28" spans="1:8" x14ac:dyDescent="0.2">
      <c r="A28" s="42"/>
      <c r="B28" s="50"/>
      <c r="C28" s="51"/>
      <c r="D28" s="43" t="s">
        <v>206</v>
      </c>
      <c r="E28" s="52" t="s">
        <v>73</v>
      </c>
      <c r="F28" s="56">
        <f>20.2*22</f>
        <v>444.4</v>
      </c>
      <c r="G28" s="52"/>
      <c r="H28" s="56"/>
    </row>
    <row r="29" spans="1:8" x14ac:dyDescent="0.2">
      <c r="A29" s="42"/>
      <c r="B29" s="50"/>
      <c r="C29" s="51"/>
      <c r="D29" s="43" t="s">
        <v>207</v>
      </c>
      <c r="E29" s="52" t="s">
        <v>73</v>
      </c>
      <c r="F29" s="56">
        <f>6.33*14.6</f>
        <v>92.417999999999992</v>
      </c>
      <c r="G29" s="52"/>
      <c r="H29" s="56"/>
    </row>
    <row r="30" spans="1:8" x14ac:dyDescent="0.2">
      <c r="A30" s="42"/>
      <c r="B30" s="50"/>
      <c r="C30" s="51"/>
      <c r="D30" s="43" t="s">
        <v>208</v>
      </c>
      <c r="E30" s="52" t="s">
        <v>73</v>
      </c>
      <c r="F30" s="56">
        <f>17.2*19.5</f>
        <v>335.4</v>
      </c>
      <c r="G30" s="52"/>
      <c r="H30" s="56"/>
    </row>
    <row r="31" spans="1:8" x14ac:dyDescent="0.2">
      <c r="A31" s="42"/>
      <c r="B31" s="50"/>
      <c r="C31" s="51"/>
      <c r="D31" s="43" t="s">
        <v>209</v>
      </c>
      <c r="E31" s="52" t="s">
        <v>73</v>
      </c>
      <c r="F31" s="56">
        <f>21.6*16.4</f>
        <v>354.24</v>
      </c>
      <c r="G31" s="52"/>
      <c r="H31" s="56"/>
    </row>
    <row r="32" spans="1:8" x14ac:dyDescent="0.2">
      <c r="A32" s="42"/>
      <c r="B32" s="50"/>
      <c r="C32" s="51"/>
      <c r="D32" s="43" t="s">
        <v>210</v>
      </c>
      <c r="E32" s="52" t="s">
        <v>73</v>
      </c>
      <c r="F32" s="56">
        <f>13.6*16</f>
        <v>217.6</v>
      </c>
      <c r="G32" s="52"/>
      <c r="H32" s="56"/>
    </row>
    <row r="33" spans="1:8" x14ac:dyDescent="0.2">
      <c r="A33" s="42"/>
      <c r="B33" s="50"/>
      <c r="C33" s="51"/>
      <c r="D33" s="43" t="s">
        <v>211</v>
      </c>
      <c r="E33" s="52" t="s">
        <v>73</v>
      </c>
      <c r="F33" s="56">
        <f>13.6*17+1.37*6*19</f>
        <v>387.38</v>
      </c>
      <c r="G33" s="52"/>
      <c r="H33" s="56"/>
    </row>
    <row r="34" spans="1:8" x14ac:dyDescent="0.2">
      <c r="A34" s="42"/>
      <c r="B34" s="50"/>
      <c r="C34" s="51"/>
      <c r="D34" s="43" t="s">
        <v>212</v>
      </c>
      <c r="E34" s="52" t="s">
        <v>73</v>
      </c>
      <c r="F34" s="56">
        <f>12.9*15.2+0.78*6*17</f>
        <v>275.64</v>
      </c>
      <c r="G34" s="52"/>
      <c r="H34" s="56"/>
    </row>
    <row r="35" spans="1:8" x14ac:dyDescent="0.2">
      <c r="A35" s="42"/>
      <c r="B35" s="50"/>
      <c r="C35" s="51"/>
      <c r="D35" s="43" t="s">
        <v>213</v>
      </c>
      <c r="E35" s="52" t="s">
        <v>73</v>
      </c>
      <c r="F35" s="56">
        <f>12.9*15.2</f>
        <v>196.07999999999998</v>
      </c>
      <c r="G35" s="52"/>
      <c r="H35" s="56"/>
    </row>
    <row r="36" spans="1:8" x14ac:dyDescent="0.2">
      <c r="A36" s="42"/>
      <c r="B36" s="50"/>
      <c r="C36" s="51"/>
      <c r="D36" s="43" t="s">
        <v>214</v>
      </c>
      <c r="E36" s="52" t="s">
        <v>73</v>
      </c>
      <c r="F36" s="56">
        <f>10.2*17</f>
        <v>173.39999999999998</v>
      </c>
      <c r="G36" s="52"/>
      <c r="H36" s="56"/>
    </row>
    <row r="37" spans="1:8" x14ac:dyDescent="0.2">
      <c r="A37" s="42"/>
      <c r="B37" s="50"/>
      <c r="C37" s="51"/>
      <c r="D37" s="43" t="s">
        <v>215</v>
      </c>
      <c r="E37" s="52" t="s">
        <v>73</v>
      </c>
      <c r="F37" s="56">
        <f>11.3*15.5</f>
        <v>175.15</v>
      </c>
      <c r="G37" s="52"/>
      <c r="H37" s="56"/>
    </row>
    <row r="38" spans="1:8" x14ac:dyDescent="0.2">
      <c r="A38" s="42"/>
      <c r="B38" s="50"/>
      <c r="C38" s="51"/>
      <c r="D38" s="43" t="s">
        <v>235</v>
      </c>
      <c r="E38" s="52" t="s">
        <v>73</v>
      </c>
      <c r="F38" s="56">
        <f>20.2*42</f>
        <v>848.4</v>
      </c>
      <c r="G38" s="52"/>
      <c r="H38" s="56"/>
    </row>
    <row r="39" spans="1:8" x14ac:dyDescent="0.2">
      <c r="A39" s="42"/>
      <c r="B39" s="50"/>
      <c r="C39" s="51"/>
      <c r="D39" s="43" t="s">
        <v>216</v>
      </c>
      <c r="E39" s="52" t="s">
        <v>73</v>
      </c>
      <c r="F39" s="56">
        <f>11.3*15.2</f>
        <v>171.76</v>
      </c>
      <c r="G39" s="52"/>
      <c r="H39" s="56"/>
    </row>
    <row r="40" spans="1:8" x14ac:dyDescent="0.2">
      <c r="A40" s="42"/>
      <c r="B40" s="50"/>
      <c r="C40" s="51"/>
      <c r="D40" s="43" t="s">
        <v>217</v>
      </c>
      <c r="E40" s="52" t="s">
        <v>73</v>
      </c>
      <c r="F40" s="56">
        <f>4.2*20.5</f>
        <v>86.100000000000009</v>
      </c>
      <c r="G40" s="52"/>
      <c r="H40" s="56"/>
    </row>
    <row r="41" spans="1:8" x14ac:dyDescent="0.2">
      <c r="A41" s="42"/>
      <c r="B41" s="50"/>
      <c r="C41" s="51"/>
      <c r="D41" s="43" t="s">
        <v>236</v>
      </c>
      <c r="E41" s="52" t="s">
        <v>73</v>
      </c>
      <c r="F41" s="56">
        <f>9.7*18</f>
        <v>174.6</v>
      </c>
      <c r="G41" s="52"/>
      <c r="H41" s="56"/>
    </row>
    <row r="42" spans="1:8" x14ac:dyDescent="0.2">
      <c r="A42" s="42"/>
      <c r="B42" s="50"/>
      <c r="C42" s="51"/>
      <c r="D42" s="43" t="s">
        <v>237</v>
      </c>
      <c r="E42" s="52" t="s">
        <v>73</v>
      </c>
      <c r="F42" s="56">
        <f>15.4*17</f>
        <v>261.8</v>
      </c>
      <c r="G42" s="52"/>
      <c r="H42" s="56"/>
    </row>
    <row r="43" spans="1:8" x14ac:dyDescent="0.2">
      <c r="A43" s="42"/>
      <c r="B43" s="50"/>
      <c r="C43" s="51"/>
      <c r="D43" s="43" t="s">
        <v>238</v>
      </c>
      <c r="E43" s="52" t="s">
        <v>73</v>
      </c>
      <c r="F43" s="56">
        <f>14.6*16.5</f>
        <v>240.9</v>
      </c>
      <c r="G43" s="52"/>
      <c r="H43" s="56"/>
    </row>
    <row r="44" spans="1:8" x14ac:dyDescent="0.2">
      <c r="A44" s="42"/>
      <c r="B44" s="50"/>
      <c r="C44" s="51"/>
      <c r="D44" s="43" t="s">
        <v>218</v>
      </c>
      <c r="E44" s="52" t="s">
        <v>73</v>
      </c>
      <c r="F44" s="56">
        <f>10.9*17.2</f>
        <v>187.48</v>
      </c>
      <c r="G44" s="52"/>
      <c r="H44" s="56"/>
    </row>
    <row r="45" spans="1:8" x14ac:dyDescent="0.2">
      <c r="A45" s="42"/>
      <c r="B45" s="50"/>
      <c r="C45" s="51"/>
      <c r="D45" s="43" t="s">
        <v>239</v>
      </c>
      <c r="E45" s="52" t="s">
        <v>73</v>
      </c>
      <c r="F45" s="56">
        <f>19.3*20</f>
        <v>386</v>
      </c>
      <c r="G45" s="52"/>
      <c r="H45" s="56"/>
    </row>
    <row r="46" spans="1:8" x14ac:dyDescent="0.2">
      <c r="A46" s="42"/>
      <c r="B46" s="50"/>
      <c r="C46" s="51"/>
      <c r="D46" s="43" t="s">
        <v>219</v>
      </c>
      <c r="E46" s="52" t="s">
        <v>73</v>
      </c>
      <c r="F46" s="56">
        <f>12.7*16.5</f>
        <v>209.54999999999998</v>
      </c>
      <c r="G46" s="52"/>
      <c r="H46" s="56"/>
    </row>
    <row r="47" spans="1:8" x14ac:dyDescent="0.2">
      <c r="A47" s="42"/>
      <c r="B47" s="50"/>
      <c r="C47" s="51"/>
      <c r="D47" s="43" t="s">
        <v>220</v>
      </c>
      <c r="E47" s="52" t="s">
        <v>73</v>
      </c>
      <c r="F47" s="56">
        <f>11.6*16.2</f>
        <v>187.92</v>
      </c>
      <c r="G47" s="52"/>
      <c r="H47" s="56"/>
    </row>
    <row r="48" spans="1:8" x14ac:dyDescent="0.2">
      <c r="A48" s="42"/>
      <c r="B48" s="50"/>
      <c r="C48" s="51"/>
      <c r="D48" s="43" t="s">
        <v>240</v>
      </c>
      <c r="E48" s="52" t="s">
        <v>73</v>
      </c>
      <c r="F48" s="56">
        <f>8.4*14.5</f>
        <v>121.80000000000001</v>
      </c>
      <c r="G48" s="52"/>
      <c r="H48" s="56"/>
    </row>
    <row r="49" spans="1:8" x14ac:dyDescent="0.2">
      <c r="A49" s="42"/>
      <c r="B49" s="50"/>
      <c r="C49" s="51"/>
      <c r="D49" s="43" t="s">
        <v>221</v>
      </c>
      <c r="E49" s="52" t="s">
        <v>73</v>
      </c>
      <c r="F49" s="56">
        <f>15.3*14+6*0.73*16</f>
        <v>284.28000000000003</v>
      </c>
      <c r="G49" s="52"/>
      <c r="H49" s="56"/>
    </row>
    <row r="50" spans="1:8" x14ac:dyDescent="0.2">
      <c r="A50" s="42"/>
      <c r="B50" s="50"/>
      <c r="C50" s="51"/>
      <c r="D50" s="43" t="s">
        <v>222</v>
      </c>
      <c r="E50" s="52" t="s">
        <v>73</v>
      </c>
      <c r="F50" s="56">
        <f>25.1*19.5</f>
        <v>489.45000000000005</v>
      </c>
      <c r="G50" s="52"/>
      <c r="H50" s="56"/>
    </row>
    <row r="51" spans="1:8" x14ac:dyDescent="0.2">
      <c r="A51" s="42"/>
      <c r="B51" s="50"/>
      <c r="C51" s="51"/>
      <c r="D51" s="43" t="s">
        <v>223</v>
      </c>
      <c r="E51" s="52" t="s">
        <v>73</v>
      </c>
      <c r="F51" s="56">
        <f>11.2*14.6</f>
        <v>163.51999999999998</v>
      </c>
      <c r="G51" s="52"/>
      <c r="H51" s="56"/>
    </row>
    <row r="52" spans="1:8" x14ac:dyDescent="0.2">
      <c r="A52" s="42"/>
      <c r="B52" s="50"/>
      <c r="C52" s="51"/>
      <c r="D52" s="43" t="s">
        <v>224</v>
      </c>
      <c r="E52" s="52" t="s">
        <v>73</v>
      </c>
      <c r="F52" s="56">
        <f>13.2*16.4</f>
        <v>216.47999999999996</v>
      </c>
      <c r="G52" s="52"/>
      <c r="H52" s="56"/>
    </row>
    <row r="53" spans="1:8" x14ac:dyDescent="0.2">
      <c r="A53" s="42"/>
      <c r="B53" s="50"/>
      <c r="C53" s="51"/>
      <c r="D53" s="43" t="s">
        <v>225</v>
      </c>
      <c r="E53" s="52" t="s">
        <v>73</v>
      </c>
      <c r="F53" s="56">
        <f>18.9*18.9</f>
        <v>357.20999999999992</v>
      </c>
      <c r="G53" s="52"/>
      <c r="H53" s="56"/>
    </row>
    <row r="54" spans="1:8" x14ac:dyDescent="0.2">
      <c r="A54" s="42"/>
      <c r="B54" s="50"/>
      <c r="C54" s="51"/>
      <c r="D54" s="43" t="s">
        <v>226</v>
      </c>
      <c r="E54" s="52" t="s">
        <v>73</v>
      </c>
      <c r="F54" s="56">
        <f>12*17</f>
        <v>204</v>
      </c>
      <c r="G54" s="52"/>
      <c r="H54" s="56"/>
    </row>
    <row r="55" spans="1:8" x14ac:dyDescent="0.2">
      <c r="A55" s="42"/>
      <c r="B55" s="50"/>
      <c r="C55" s="51"/>
      <c r="D55" s="43" t="s">
        <v>227</v>
      </c>
      <c r="E55" s="52" t="s">
        <v>73</v>
      </c>
      <c r="F55" s="56">
        <f>21.2*17.5</f>
        <v>371</v>
      </c>
      <c r="G55" s="52"/>
      <c r="H55" s="56"/>
    </row>
    <row r="56" spans="1:8" x14ac:dyDescent="0.2">
      <c r="A56" s="42"/>
      <c r="B56" s="50"/>
      <c r="C56" s="51"/>
      <c r="D56" s="43" t="s">
        <v>228</v>
      </c>
      <c r="E56" s="52" t="s">
        <v>73</v>
      </c>
      <c r="F56" s="56">
        <f>11*16</f>
        <v>176</v>
      </c>
      <c r="G56" s="52"/>
      <c r="H56" s="56"/>
    </row>
    <row r="57" spans="1:8" x14ac:dyDescent="0.2">
      <c r="A57" s="42"/>
      <c r="B57" s="50"/>
      <c r="C57" s="51"/>
      <c r="D57" s="43" t="s">
        <v>229</v>
      </c>
      <c r="E57" s="52" t="s">
        <v>73</v>
      </c>
      <c r="F57" s="56">
        <f>18.9*18</f>
        <v>340.2</v>
      </c>
      <c r="G57" s="52"/>
      <c r="H57" s="56"/>
    </row>
    <row r="58" spans="1:8" x14ac:dyDescent="0.2">
      <c r="A58" s="42"/>
      <c r="B58" s="50"/>
      <c r="C58" s="51"/>
      <c r="D58" s="43" t="s">
        <v>230</v>
      </c>
      <c r="E58" s="52" t="s">
        <v>73</v>
      </c>
      <c r="F58" s="56">
        <f>7.7*21.2</f>
        <v>163.24</v>
      </c>
      <c r="G58" s="52"/>
      <c r="H58" s="56"/>
    </row>
    <row r="59" spans="1:8" x14ac:dyDescent="0.2">
      <c r="A59" s="42"/>
      <c r="B59" s="50"/>
      <c r="C59" s="51"/>
      <c r="D59" s="43" t="s">
        <v>231</v>
      </c>
      <c r="E59" s="52" t="s">
        <v>73</v>
      </c>
      <c r="F59" s="56">
        <f>2.4*18.6+6*0.64*20.5</f>
        <v>123.36</v>
      </c>
      <c r="G59" s="52"/>
      <c r="H59" s="56"/>
    </row>
    <row r="60" spans="1:8" x14ac:dyDescent="0.2">
      <c r="A60" s="42"/>
      <c r="B60" s="50"/>
      <c r="C60" s="51"/>
      <c r="D60" s="43" t="s">
        <v>232</v>
      </c>
      <c r="E60" s="52" t="s">
        <v>73</v>
      </c>
      <c r="F60" s="56">
        <f>6.7*18.5</f>
        <v>123.95</v>
      </c>
      <c r="G60" s="52"/>
      <c r="H60" s="56"/>
    </row>
    <row r="61" spans="1:8" x14ac:dyDescent="0.2">
      <c r="A61" s="42"/>
      <c r="B61" s="50"/>
      <c r="C61" s="51"/>
      <c r="D61" s="43" t="s">
        <v>233</v>
      </c>
      <c r="E61" s="52" t="s">
        <v>73</v>
      </c>
      <c r="F61" s="56">
        <f>10.2*20</f>
        <v>204</v>
      </c>
      <c r="G61" s="52"/>
      <c r="H61" s="56"/>
    </row>
    <row r="62" spans="1:8" x14ac:dyDescent="0.2">
      <c r="A62" s="42"/>
      <c r="B62" s="50"/>
      <c r="C62" s="51"/>
      <c r="D62" s="43" t="s">
        <v>234</v>
      </c>
      <c r="E62" s="52" t="s">
        <v>73</v>
      </c>
      <c r="F62" s="56">
        <f>36*23.1</f>
        <v>831.6</v>
      </c>
      <c r="G62" s="52"/>
      <c r="H62" s="56"/>
    </row>
    <row r="63" spans="1:8" x14ac:dyDescent="0.2">
      <c r="A63" s="28" t="str">
        <f>IF(C63=0,MAX($A$10:A62)+1," ")</f>
        <v xml:space="preserve"> </v>
      </c>
      <c r="B63" s="29" t="s">
        <v>7</v>
      </c>
      <c r="C63" s="30" t="s">
        <v>47</v>
      </c>
      <c r="D63" s="66" t="s">
        <v>48</v>
      </c>
      <c r="E63" s="66"/>
      <c r="F63" s="67"/>
      <c r="G63" s="66"/>
      <c r="H63" s="67"/>
    </row>
    <row r="64" spans="1:8" ht="25.5" x14ac:dyDescent="0.2">
      <c r="A64" s="23">
        <f>IF(C64=0,MAX($A$10:A62)+1," ")</f>
        <v>2</v>
      </c>
      <c r="B64" s="24"/>
      <c r="C64" s="25"/>
      <c r="D64" s="53" t="s">
        <v>54</v>
      </c>
      <c r="E64" s="54" t="s">
        <v>73</v>
      </c>
      <c r="F64" s="55">
        <f>SUM(F65:F75)</f>
        <v>1965.8999999999999</v>
      </c>
      <c r="G64" s="54"/>
      <c r="H64" s="98"/>
    </row>
    <row r="65" spans="1:8" x14ac:dyDescent="0.2">
      <c r="A65" s="42"/>
      <c r="B65" s="50"/>
      <c r="C65" s="51"/>
      <c r="D65" s="43" t="s">
        <v>197</v>
      </c>
      <c r="E65" s="52" t="s">
        <v>73</v>
      </c>
      <c r="F65" s="56">
        <f>4.7*6*18</f>
        <v>507.6</v>
      </c>
      <c r="G65" s="52"/>
      <c r="H65" s="56"/>
    </row>
    <row r="66" spans="1:8" x14ac:dyDescent="0.2">
      <c r="A66" s="42"/>
      <c r="B66" s="50"/>
      <c r="C66" s="51"/>
      <c r="D66" s="43" t="s">
        <v>198</v>
      </c>
      <c r="E66" s="52" t="s">
        <v>73</v>
      </c>
      <c r="F66" s="56">
        <f>1.13*6*23</f>
        <v>155.94</v>
      </c>
      <c r="G66" s="52"/>
      <c r="H66" s="56"/>
    </row>
    <row r="67" spans="1:8" x14ac:dyDescent="0.2">
      <c r="A67" s="42"/>
      <c r="B67" s="50"/>
      <c r="C67" s="51"/>
      <c r="D67" s="43" t="s">
        <v>199</v>
      </c>
      <c r="E67" s="52" t="s">
        <v>73</v>
      </c>
      <c r="F67" s="56">
        <f>1.27*6*20</f>
        <v>152.4</v>
      </c>
      <c r="G67" s="52"/>
      <c r="H67" s="56"/>
    </row>
    <row r="68" spans="1:8" x14ac:dyDescent="0.2">
      <c r="A68" s="42"/>
      <c r="B68" s="50"/>
      <c r="C68" s="51"/>
      <c r="D68" s="43" t="s">
        <v>200</v>
      </c>
      <c r="E68" s="52" t="s">
        <v>73</v>
      </c>
      <c r="F68" s="56">
        <f>2.3*6*20</f>
        <v>276</v>
      </c>
      <c r="G68" s="52"/>
      <c r="H68" s="56"/>
    </row>
    <row r="69" spans="1:8" x14ac:dyDescent="0.2">
      <c r="A69" s="42"/>
      <c r="B69" s="50"/>
      <c r="C69" s="51"/>
      <c r="D69" s="43" t="s">
        <v>202</v>
      </c>
      <c r="E69" s="52" t="s">
        <v>73</v>
      </c>
      <c r="F69" s="56">
        <f>1.32*6*17</f>
        <v>134.63999999999999</v>
      </c>
      <c r="G69" s="52"/>
      <c r="H69" s="56"/>
    </row>
    <row r="70" spans="1:8" x14ac:dyDescent="0.2">
      <c r="A70" s="42"/>
      <c r="B70" s="50"/>
      <c r="C70" s="51"/>
      <c r="D70" s="43" t="s">
        <v>203</v>
      </c>
      <c r="E70" s="52" t="s">
        <v>73</v>
      </c>
      <c r="F70" s="56">
        <f>1.35*6*21</f>
        <v>170.10000000000002</v>
      </c>
      <c r="G70" s="52"/>
      <c r="H70" s="56"/>
    </row>
    <row r="71" spans="1:8" x14ac:dyDescent="0.2">
      <c r="A71" s="42"/>
      <c r="B71" s="50"/>
      <c r="C71" s="51"/>
      <c r="D71" s="43" t="s">
        <v>205</v>
      </c>
      <c r="E71" s="52" t="s">
        <v>73</v>
      </c>
      <c r="F71" s="56">
        <f>1.62*6*19</f>
        <v>184.68</v>
      </c>
      <c r="G71" s="52"/>
      <c r="H71" s="56"/>
    </row>
    <row r="72" spans="1:8" x14ac:dyDescent="0.2">
      <c r="A72" s="42"/>
      <c r="B72" s="50"/>
      <c r="C72" s="51"/>
      <c r="D72" s="43" t="s">
        <v>211</v>
      </c>
      <c r="E72" s="52" t="s">
        <v>73</v>
      </c>
      <c r="F72" s="56">
        <f>1.37*6*19</f>
        <v>156.18</v>
      </c>
      <c r="G72" s="52"/>
      <c r="H72" s="56"/>
    </row>
    <row r="73" spans="1:8" x14ac:dyDescent="0.2">
      <c r="A73" s="42"/>
      <c r="B73" s="50"/>
      <c r="C73" s="51"/>
      <c r="D73" s="43" t="s">
        <v>212</v>
      </c>
      <c r="E73" s="52" t="s">
        <v>73</v>
      </c>
      <c r="F73" s="56">
        <f>0.78*6*17</f>
        <v>79.56</v>
      </c>
      <c r="G73" s="52"/>
      <c r="H73" s="56"/>
    </row>
    <row r="74" spans="1:8" x14ac:dyDescent="0.2">
      <c r="A74" s="42"/>
      <c r="B74" s="50"/>
      <c r="C74" s="51"/>
      <c r="D74" s="43" t="s">
        <v>221</v>
      </c>
      <c r="E74" s="52" t="s">
        <v>73</v>
      </c>
      <c r="F74" s="56">
        <f>6*0.73*16</f>
        <v>70.08</v>
      </c>
      <c r="G74" s="52"/>
      <c r="H74" s="56"/>
    </row>
    <row r="75" spans="1:8" x14ac:dyDescent="0.2">
      <c r="A75" s="61"/>
      <c r="B75" s="145"/>
      <c r="C75" s="146"/>
      <c r="D75" s="141" t="s">
        <v>231</v>
      </c>
      <c r="E75" s="147" t="s">
        <v>73</v>
      </c>
      <c r="F75" s="99">
        <f>6*0.64*20.5</f>
        <v>78.72</v>
      </c>
      <c r="G75" s="147"/>
      <c r="H75" s="99"/>
    </row>
    <row r="76" spans="1:8" s="10" customFormat="1" ht="15.75" x14ac:dyDescent="0.2">
      <c r="A76" s="77" t="str">
        <f>IF(C76=0,MAX(#REF!)+1," ")</f>
        <v xml:space="preserve"> </v>
      </c>
      <c r="B76" s="78"/>
      <c r="C76" s="79" t="s">
        <v>23</v>
      </c>
      <c r="D76" s="150" t="s">
        <v>24</v>
      </c>
      <c r="E76" s="150"/>
      <c r="F76" s="151"/>
      <c r="G76" s="150"/>
      <c r="H76" s="151"/>
    </row>
    <row r="77" spans="1:8" x14ac:dyDescent="0.2">
      <c r="A77" s="15" t="str">
        <f>IF(C77=0,MAX($A$10:A76)+1," ")</f>
        <v xml:space="preserve"> </v>
      </c>
      <c r="B77" s="16"/>
      <c r="C77" s="17" t="s">
        <v>25</v>
      </c>
      <c r="D77" s="64" t="s">
        <v>24</v>
      </c>
      <c r="E77" s="64"/>
      <c r="F77" s="65"/>
      <c r="G77" s="64"/>
      <c r="H77" s="65"/>
    </row>
    <row r="78" spans="1:8" ht="27" customHeight="1" x14ac:dyDescent="0.2">
      <c r="A78" s="28" t="str">
        <f>IF(C78=0,MAX($A$10:A77)+1," ")</f>
        <v xml:space="preserve"> </v>
      </c>
      <c r="B78" s="29" t="s">
        <v>27</v>
      </c>
      <c r="C78" s="30" t="s">
        <v>122</v>
      </c>
      <c r="D78" s="66" t="s">
        <v>119</v>
      </c>
      <c r="E78" s="66"/>
      <c r="F78" s="67"/>
      <c r="G78" s="66"/>
      <c r="H78" s="67"/>
    </row>
    <row r="79" spans="1:8" s="18" customFormat="1" ht="25.5" x14ac:dyDescent="0.2">
      <c r="A79" s="23">
        <f>IF(C79=0,MAX($A$10:A77)+1," ")</f>
        <v>3</v>
      </c>
      <c r="B79" s="31"/>
      <c r="C79" s="32"/>
      <c r="D79" s="34" t="s">
        <v>30</v>
      </c>
      <c r="E79" s="33" t="s">
        <v>22</v>
      </c>
      <c r="F79" s="27">
        <f>8*43*2</f>
        <v>688</v>
      </c>
      <c r="G79" s="33"/>
      <c r="H79" s="98"/>
    </row>
    <row r="80" spans="1:8" x14ac:dyDescent="0.2">
      <c r="A80" s="15" t="str">
        <f>IF(C80=0,MAX($A$10:A79)+1," ")</f>
        <v xml:space="preserve"> </v>
      </c>
      <c r="B80" s="16"/>
      <c r="C80" s="17" t="s">
        <v>37</v>
      </c>
      <c r="D80" s="64" t="s">
        <v>38</v>
      </c>
      <c r="E80" s="64"/>
      <c r="F80" s="65"/>
      <c r="G80" s="64"/>
      <c r="H80" s="65"/>
    </row>
    <row r="81" spans="1:8" x14ac:dyDescent="0.2">
      <c r="A81" s="28" t="str">
        <f>IF(C81=0,MAX($A$10:A80)+1," ")</f>
        <v xml:space="preserve"> </v>
      </c>
      <c r="B81" s="29" t="s">
        <v>27</v>
      </c>
      <c r="C81" s="30" t="s">
        <v>41</v>
      </c>
      <c r="D81" s="66" t="s">
        <v>39</v>
      </c>
      <c r="E81" s="66"/>
      <c r="F81" s="67"/>
      <c r="G81" s="66"/>
      <c r="H81" s="67"/>
    </row>
    <row r="82" spans="1:8" s="18" customFormat="1" ht="17.25" customHeight="1" x14ac:dyDescent="0.2">
      <c r="A82" s="23">
        <f>IF(C82=0,MAX($A$10:A81)+1," ")</f>
        <v>4</v>
      </c>
      <c r="B82" s="31"/>
      <c r="C82" s="32"/>
      <c r="D82" s="26" t="s">
        <v>123</v>
      </c>
      <c r="E82" s="33" t="s">
        <v>40</v>
      </c>
      <c r="F82" s="35">
        <v>43</v>
      </c>
      <c r="G82" s="33"/>
      <c r="H82" s="98"/>
    </row>
    <row r="83" spans="1:8" x14ac:dyDescent="0.2">
      <c r="A83" s="28" t="str">
        <f>IF(C83=0,MAX($A$10:A82)+1," ")</f>
        <v xml:space="preserve"> </v>
      </c>
      <c r="B83" s="29" t="s">
        <v>27</v>
      </c>
      <c r="C83" s="30" t="s">
        <v>42</v>
      </c>
      <c r="D83" s="66" t="s">
        <v>43</v>
      </c>
      <c r="E83" s="66"/>
      <c r="F83" s="67"/>
      <c r="G83" s="66"/>
      <c r="H83" s="67"/>
    </row>
    <row r="84" spans="1:8" s="18" customFormat="1" x14ac:dyDescent="0.2">
      <c r="A84" s="23">
        <f>IF(C84=0,MAX($A$10:A83)+1," ")</f>
        <v>5</v>
      </c>
      <c r="B84" s="31"/>
      <c r="C84" s="32"/>
      <c r="D84" s="26" t="s">
        <v>43</v>
      </c>
      <c r="E84" s="33" t="s">
        <v>40</v>
      </c>
      <c r="F84" s="35">
        <v>49</v>
      </c>
      <c r="G84" s="33"/>
      <c r="H84" s="98"/>
    </row>
    <row r="85" spans="1:8" x14ac:dyDescent="0.2">
      <c r="A85" s="15" t="str">
        <f>IF(C85=0,MAX($A$10:A79)+1," ")</f>
        <v xml:space="preserve"> </v>
      </c>
      <c r="B85" s="16"/>
      <c r="C85" s="17" t="s">
        <v>33</v>
      </c>
      <c r="D85" s="64" t="s">
        <v>34</v>
      </c>
      <c r="E85" s="64"/>
      <c r="F85" s="65"/>
      <c r="G85" s="64"/>
      <c r="H85" s="65"/>
    </row>
    <row r="86" spans="1:8" x14ac:dyDescent="0.2">
      <c r="A86" s="28" t="str">
        <f>IF(C86=0,MAX($A$10:A85)+1," ")</f>
        <v xml:space="preserve"> </v>
      </c>
      <c r="B86" s="29" t="s">
        <v>9</v>
      </c>
      <c r="C86" s="30" t="s">
        <v>35</v>
      </c>
      <c r="D86" s="66" t="s">
        <v>36</v>
      </c>
      <c r="E86" s="66"/>
      <c r="F86" s="67"/>
      <c r="G86" s="66"/>
      <c r="H86" s="67"/>
    </row>
    <row r="87" spans="1:8" s="18" customFormat="1" ht="108.75" customHeight="1" x14ac:dyDescent="0.2">
      <c r="A87" s="23">
        <f>IF(C87=0,MAX($A$10:A86)+1," ")</f>
        <v>6</v>
      </c>
      <c r="B87" s="31"/>
      <c r="C87" s="32"/>
      <c r="D87" s="53" t="s">
        <v>44</v>
      </c>
      <c r="E87" s="57" t="s">
        <v>110</v>
      </c>
      <c r="F87" s="55">
        <f>SUM(F88:F136)</f>
        <v>1929</v>
      </c>
      <c r="G87" s="57"/>
      <c r="H87" s="98"/>
    </row>
    <row r="88" spans="1:8" x14ac:dyDescent="0.2">
      <c r="A88" s="42"/>
      <c r="B88" s="50"/>
      <c r="C88" s="51"/>
      <c r="D88" s="43" t="s">
        <v>192</v>
      </c>
      <c r="E88" s="52" t="s">
        <v>110</v>
      </c>
      <c r="F88" s="56">
        <f>2*15</f>
        <v>30</v>
      </c>
      <c r="G88" s="52"/>
      <c r="H88" s="56"/>
    </row>
    <row r="89" spans="1:8" x14ac:dyDescent="0.2">
      <c r="A89" s="42"/>
      <c r="B89" s="50"/>
      <c r="C89" s="51"/>
      <c r="D89" s="43" t="s">
        <v>193</v>
      </c>
      <c r="E89" s="52" t="s">
        <v>110</v>
      </c>
      <c r="F89" s="56">
        <f>2*19</f>
        <v>38</v>
      </c>
      <c r="G89" s="52"/>
      <c r="H89" s="56"/>
    </row>
    <row r="90" spans="1:8" x14ac:dyDescent="0.2">
      <c r="A90" s="42"/>
      <c r="B90" s="50"/>
      <c r="C90" s="51"/>
      <c r="D90" s="43" t="s">
        <v>194</v>
      </c>
      <c r="E90" s="52" t="s">
        <v>110</v>
      </c>
      <c r="F90" s="56">
        <f>3*20.5</f>
        <v>61.5</v>
      </c>
      <c r="G90" s="52"/>
      <c r="H90" s="56"/>
    </row>
    <row r="91" spans="1:8" x14ac:dyDescent="0.2">
      <c r="A91" s="42"/>
      <c r="B91" s="50"/>
      <c r="C91" s="51"/>
      <c r="D91" s="43" t="s">
        <v>195</v>
      </c>
      <c r="E91" s="52" t="s">
        <v>110</v>
      </c>
      <c r="F91" s="56">
        <f>2*16.5</f>
        <v>33</v>
      </c>
      <c r="G91" s="52"/>
      <c r="H91" s="56"/>
    </row>
    <row r="92" spans="1:8" x14ac:dyDescent="0.2">
      <c r="A92" s="42"/>
      <c r="B92" s="50"/>
      <c r="C92" s="51"/>
      <c r="D92" s="43" t="s">
        <v>196</v>
      </c>
      <c r="E92" s="52" t="s">
        <v>110</v>
      </c>
      <c r="F92" s="56">
        <f>2*17</f>
        <v>34</v>
      </c>
      <c r="G92" s="52"/>
      <c r="H92" s="56"/>
    </row>
    <row r="93" spans="1:8" x14ac:dyDescent="0.2">
      <c r="A93" s="42"/>
      <c r="B93" s="50"/>
      <c r="C93" s="51"/>
      <c r="D93" s="43" t="s">
        <v>197</v>
      </c>
      <c r="E93" s="52" t="s">
        <v>110</v>
      </c>
      <c r="F93" s="56">
        <f>2*17.5</f>
        <v>35</v>
      </c>
      <c r="G93" s="52"/>
      <c r="H93" s="56"/>
    </row>
    <row r="94" spans="1:8" x14ac:dyDescent="0.2">
      <c r="A94" s="42"/>
      <c r="B94" s="50"/>
      <c r="C94" s="51"/>
      <c r="D94" s="43" t="s">
        <v>198</v>
      </c>
      <c r="E94" s="52" t="s">
        <v>110</v>
      </c>
      <c r="F94" s="56">
        <f>2.5*22</f>
        <v>55</v>
      </c>
      <c r="G94" s="52"/>
      <c r="H94" s="56"/>
    </row>
    <row r="95" spans="1:8" x14ac:dyDescent="0.2">
      <c r="A95" s="42"/>
      <c r="B95" s="50"/>
      <c r="C95" s="51"/>
      <c r="D95" s="43" t="s">
        <v>199</v>
      </c>
      <c r="E95" s="52" t="s">
        <v>110</v>
      </c>
      <c r="F95" s="56">
        <f>2*18.5</f>
        <v>37</v>
      </c>
      <c r="G95" s="52"/>
      <c r="H95" s="56"/>
    </row>
    <row r="96" spans="1:8" x14ac:dyDescent="0.2">
      <c r="A96" s="42"/>
      <c r="B96" s="50"/>
      <c r="C96" s="51"/>
      <c r="D96" s="43" t="s">
        <v>200</v>
      </c>
      <c r="E96" s="52" t="s">
        <v>110</v>
      </c>
      <c r="F96" s="56">
        <f>2*18.5</f>
        <v>37</v>
      </c>
      <c r="G96" s="52"/>
      <c r="H96" s="56"/>
    </row>
    <row r="97" spans="1:8" x14ac:dyDescent="0.2">
      <c r="A97" s="42"/>
      <c r="B97" s="50"/>
      <c r="C97" s="51"/>
      <c r="D97" s="43" t="s">
        <v>201</v>
      </c>
      <c r="E97" s="52" t="s">
        <v>110</v>
      </c>
      <c r="F97" s="56">
        <f>2*16.5</f>
        <v>33</v>
      </c>
      <c r="G97" s="52"/>
      <c r="H97" s="56"/>
    </row>
    <row r="98" spans="1:8" x14ac:dyDescent="0.2">
      <c r="A98" s="42"/>
      <c r="B98" s="50"/>
      <c r="C98" s="51"/>
      <c r="D98" s="43" t="s">
        <v>202</v>
      </c>
      <c r="E98" s="52" t="s">
        <v>110</v>
      </c>
      <c r="F98" s="56">
        <f>2*16</f>
        <v>32</v>
      </c>
      <c r="G98" s="52"/>
      <c r="H98" s="56"/>
    </row>
    <row r="99" spans="1:8" x14ac:dyDescent="0.2">
      <c r="A99" s="42"/>
      <c r="B99" s="50"/>
      <c r="C99" s="51"/>
      <c r="D99" s="43" t="s">
        <v>203</v>
      </c>
      <c r="E99" s="52" t="s">
        <v>110</v>
      </c>
      <c r="F99" s="56">
        <f>2*20</f>
        <v>40</v>
      </c>
      <c r="G99" s="52"/>
      <c r="H99" s="56"/>
    </row>
    <row r="100" spans="1:8" x14ac:dyDescent="0.2">
      <c r="A100" s="42"/>
      <c r="B100" s="50"/>
      <c r="C100" s="51"/>
      <c r="D100" s="43" t="s">
        <v>204</v>
      </c>
      <c r="E100" s="52" t="s">
        <v>110</v>
      </c>
      <c r="F100" s="56">
        <f>2*17</f>
        <v>34</v>
      </c>
      <c r="G100" s="52"/>
      <c r="H100" s="56"/>
    </row>
    <row r="101" spans="1:8" x14ac:dyDescent="0.2">
      <c r="A101" s="42"/>
      <c r="B101" s="50"/>
      <c r="C101" s="51"/>
      <c r="D101" s="43" t="s">
        <v>205</v>
      </c>
      <c r="E101" s="52" t="s">
        <v>110</v>
      </c>
      <c r="F101" s="56">
        <f>2*17.5</f>
        <v>35</v>
      </c>
      <c r="G101" s="52"/>
      <c r="H101" s="56"/>
    </row>
    <row r="102" spans="1:8" x14ac:dyDescent="0.2">
      <c r="A102" s="42"/>
      <c r="B102" s="50"/>
      <c r="C102" s="51"/>
      <c r="D102" s="43" t="s">
        <v>206</v>
      </c>
      <c r="E102" s="52" t="s">
        <v>110</v>
      </c>
      <c r="F102" s="56">
        <f>2*20.5</f>
        <v>41</v>
      </c>
      <c r="G102" s="52"/>
      <c r="H102" s="56"/>
    </row>
    <row r="103" spans="1:8" x14ac:dyDescent="0.2">
      <c r="A103" s="42"/>
      <c r="B103" s="50"/>
      <c r="C103" s="51"/>
      <c r="D103" s="43" t="s">
        <v>207</v>
      </c>
      <c r="E103" s="52" t="s">
        <v>110</v>
      </c>
      <c r="F103" s="56">
        <f>2*15.5</f>
        <v>31</v>
      </c>
      <c r="G103" s="52"/>
      <c r="H103" s="56"/>
    </row>
    <row r="104" spans="1:8" x14ac:dyDescent="0.2">
      <c r="A104" s="42"/>
      <c r="B104" s="50"/>
      <c r="C104" s="51"/>
      <c r="D104" s="43" t="s">
        <v>208</v>
      </c>
      <c r="E104" s="52" t="s">
        <v>110</v>
      </c>
      <c r="F104" s="56">
        <f>2*20.5</f>
        <v>41</v>
      </c>
      <c r="G104" s="52"/>
      <c r="H104" s="56"/>
    </row>
    <row r="105" spans="1:8" x14ac:dyDescent="0.2">
      <c r="A105" s="42"/>
      <c r="B105" s="50"/>
      <c r="C105" s="51"/>
      <c r="D105" s="43" t="s">
        <v>209</v>
      </c>
      <c r="E105" s="52" t="s">
        <v>110</v>
      </c>
      <c r="F105" s="56">
        <f>2*20.5</f>
        <v>41</v>
      </c>
      <c r="G105" s="52"/>
      <c r="H105" s="56"/>
    </row>
    <row r="106" spans="1:8" x14ac:dyDescent="0.2">
      <c r="A106" s="42"/>
      <c r="B106" s="50"/>
      <c r="C106" s="51"/>
      <c r="D106" s="43" t="s">
        <v>210</v>
      </c>
      <c r="E106" s="52" t="s">
        <v>110</v>
      </c>
      <c r="F106" s="56">
        <f>2*16.5</f>
        <v>33</v>
      </c>
      <c r="G106" s="52"/>
      <c r="H106" s="56"/>
    </row>
    <row r="107" spans="1:8" x14ac:dyDescent="0.2">
      <c r="A107" s="42"/>
      <c r="B107" s="50"/>
      <c r="C107" s="51"/>
      <c r="D107" s="43" t="s">
        <v>211</v>
      </c>
      <c r="E107" s="52" t="s">
        <v>110</v>
      </c>
      <c r="F107" s="56">
        <f>2*18</f>
        <v>36</v>
      </c>
      <c r="G107" s="52"/>
      <c r="H107" s="56"/>
    </row>
    <row r="108" spans="1:8" x14ac:dyDescent="0.2">
      <c r="A108" s="42"/>
      <c r="B108" s="50"/>
      <c r="C108" s="51"/>
      <c r="D108" s="43" t="s">
        <v>212</v>
      </c>
      <c r="E108" s="52" t="s">
        <v>110</v>
      </c>
      <c r="F108" s="56">
        <f>2*16</f>
        <v>32</v>
      </c>
      <c r="G108" s="52"/>
      <c r="H108" s="56"/>
    </row>
    <row r="109" spans="1:8" x14ac:dyDescent="0.2">
      <c r="A109" s="42"/>
      <c r="B109" s="50"/>
      <c r="C109" s="51"/>
      <c r="D109" s="43" t="s">
        <v>213</v>
      </c>
      <c r="E109" s="52" t="s">
        <v>110</v>
      </c>
      <c r="F109" s="56">
        <f>2*19.5</f>
        <v>39</v>
      </c>
      <c r="G109" s="52"/>
      <c r="H109" s="56"/>
    </row>
    <row r="110" spans="1:8" x14ac:dyDescent="0.2">
      <c r="A110" s="42"/>
      <c r="B110" s="50"/>
      <c r="C110" s="51"/>
      <c r="D110" s="43" t="s">
        <v>214</v>
      </c>
      <c r="E110" s="52" t="s">
        <v>110</v>
      </c>
      <c r="F110" s="56">
        <f>2*16.5</f>
        <v>33</v>
      </c>
      <c r="G110" s="52"/>
      <c r="H110" s="56"/>
    </row>
    <row r="111" spans="1:8" x14ac:dyDescent="0.2">
      <c r="A111" s="42"/>
      <c r="B111" s="50"/>
      <c r="C111" s="51"/>
      <c r="D111" s="43" t="s">
        <v>215</v>
      </c>
      <c r="E111" s="52" t="s">
        <v>110</v>
      </c>
      <c r="F111" s="56">
        <f>2*42.5</f>
        <v>85</v>
      </c>
      <c r="G111" s="52"/>
      <c r="H111" s="56"/>
    </row>
    <row r="112" spans="1:8" x14ac:dyDescent="0.2">
      <c r="A112" s="42"/>
      <c r="B112" s="50"/>
      <c r="C112" s="51"/>
      <c r="D112" s="43" t="s">
        <v>235</v>
      </c>
      <c r="E112" s="52" t="s">
        <v>110</v>
      </c>
      <c r="F112" s="56">
        <f>2*16</f>
        <v>32</v>
      </c>
      <c r="G112" s="52"/>
      <c r="H112" s="56"/>
    </row>
    <row r="113" spans="1:8" x14ac:dyDescent="0.2">
      <c r="A113" s="42"/>
      <c r="B113" s="50"/>
      <c r="C113" s="51"/>
      <c r="D113" s="43" t="s">
        <v>216</v>
      </c>
      <c r="E113" s="52" t="s">
        <v>110</v>
      </c>
      <c r="F113" s="56">
        <f>2*21.5</f>
        <v>43</v>
      </c>
      <c r="G113" s="52"/>
      <c r="H113" s="56"/>
    </row>
    <row r="114" spans="1:8" x14ac:dyDescent="0.2">
      <c r="A114" s="42"/>
      <c r="B114" s="50"/>
      <c r="C114" s="51"/>
      <c r="D114" s="43" t="s">
        <v>217</v>
      </c>
      <c r="E114" s="52" t="s">
        <v>110</v>
      </c>
      <c r="F114" s="56">
        <f>2*21</f>
        <v>42</v>
      </c>
      <c r="G114" s="52"/>
      <c r="H114" s="56"/>
    </row>
    <row r="115" spans="1:8" x14ac:dyDescent="0.2">
      <c r="A115" s="42"/>
      <c r="B115" s="50"/>
      <c r="C115" s="51"/>
      <c r="D115" s="43" t="s">
        <v>236</v>
      </c>
      <c r="E115" s="52" t="s">
        <v>110</v>
      </c>
      <c r="F115" s="56">
        <f>2.5*16.5</f>
        <v>41.25</v>
      </c>
      <c r="G115" s="52"/>
      <c r="H115" s="56"/>
    </row>
    <row r="116" spans="1:8" x14ac:dyDescent="0.2">
      <c r="A116" s="42"/>
      <c r="B116" s="50"/>
      <c r="C116" s="51"/>
      <c r="D116" s="43" t="s">
        <v>237</v>
      </c>
      <c r="E116" s="52" t="s">
        <v>110</v>
      </c>
      <c r="F116" s="56">
        <f>2.5*15.5</f>
        <v>38.75</v>
      </c>
      <c r="G116" s="52"/>
      <c r="H116" s="56"/>
    </row>
    <row r="117" spans="1:8" x14ac:dyDescent="0.2">
      <c r="A117" s="42"/>
      <c r="B117" s="50"/>
      <c r="C117" s="51"/>
      <c r="D117" s="43" t="s">
        <v>238</v>
      </c>
      <c r="E117" s="52" t="s">
        <v>110</v>
      </c>
      <c r="F117" s="56">
        <f>2.5*15</f>
        <v>37.5</v>
      </c>
      <c r="G117" s="52"/>
      <c r="H117" s="56"/>
    </row>
    <row r="118" spans="1:8" x14ac:dyDescent="0.2">
      <c r="A118" s="42"/>
      <c r="B118" s="50"/>
      <c r="C118" s="51"/>
      <c r="D118" s="43" t="s">
        <v>218</v>
      </c>
      <c r="E118" s="52" t="s">
        <v>110</v>
      </c>
      <c r="F118" s="56">
        <f>2*18</f>
        <v>36</v>
      </c>
      <c r="G118" s="52"/>
      <c r="H118" s="56"/>
    </row>
    <row r="119" spans="1:8" x14ac:dyDescent="0.2">
      <c r="A119" s="42"/>
      <c r="B119" s="50"/>
      <c r="C119" s="51"/>
      <c r="D119" s="43" t="s">
        <v>239</v>
      </c>
      <c r="E119" s="52" t="s">
        <v>110</v>
      </c>
      <c r="F119" s="56">
        <f>2.5*21</f>
        <v>52.5</v>
      </c>
      <c r="G119" s="52"/>
      <c r="H119" s="56"/>
    </row>
    <row r="120" spans="1:8" x14ac:dyDescent="0.2">
      <c r="A120" s="42"/>
      <c r="B120" s="50"/>
      <c r="C120" s="51"/>
      <c r="D120" s="43" t="s">
        <v>219</v>
      </c>
      <c r="E120" s="52" t="s">
        <v>110</v>
      </c>
      <c r="F120" s="56">
        <f>2*17.5</f>
        <v>35</v>
      </c>
      <c r="G120" s="52"/>
      <c r="H120" s="56"/>
    </row>
    <row r="121" spans="1:8" x14ac:dyDescent="0.2">
      <c r="A121" s="42"/>
      <c r="B121" s="50"/>
      <c r="C121" s="51"/>
      <c r="D121" s="43" t="s">
        <v>220</v>
      </c>
      <c r="E121" s="52" t="s">
        <v>110</v>
      </c>
      <c r="F121" s="56">
        <f>2*17</f>
        <v>34</v>
      </c>
      <c r="G121" s="52"/>
      <c r="H121" s="56"/>
    </row>
    <row r="122" spans="1:8" x14ac:dyDescent="0.2">
      <c r="A122" s="42"/>
      <c r="B122" s="50"/>
      <c r="C122" s="51"/>
      <c r="D122" s="43" t="s">
        <v>240</v>
      </c>
      <c r="E122" s="52" t="s">
        <v>110</v>
      </c>
      <c r="F122" s="56">
        <f>2.5*15</f>
        <v>37.5</v>
      </c>
      <c r="G122" s="52"/>
      <c r="H122" s="56"/>
    </row>
    <row r="123" spans="1:8" x14ac:dyDescent="0.2">
      <c r="A123" s="42"/>
      <c r="B123" s="50"/>
      <c r="C123" s="51"/>
      <c r="D123" s="43" t="s">
        <v>221</v>
      </c>
      <c r="E123" s="52" t="s">
        <v>110</v>
      </c>
      <c r="F123" s="56">
        <f>2*15</f>
        <v>30</v>
      </c>
      <c r="G123" s="52"/>
      <c r="H123" s="56"/>
    </row>
    <row r="124" spans="1:8" x14ac:dyDescent="0.2">
      <c r="A124" s="42"/>
      <c r="B124" s="50"/>
      <c r="C124" s="51"/>
      <c r="D124" s="43" t="s">
        <v>222</v>
      </c>
      <c r="E124" s="52" t="s">
        <v>110</v>
      </c>
      <c r="F124" s="56">
        <f>2*20.5</f>
        <v>41</v>
      </c>
      <c r="G124" s="52"/>
      <c r="H124" s="56"/>
    </row>
    <row r="125" spans="1:8" x14ac:dyDescent="0.2">
      <c r="A125" s="42"/>
      <c r="B125" s="50"/>
      <c r="C125" s="51"/>
      <c r="D125" s="43" t="s">
        <v>223</v>
      </c>
      <c r="E125" s="52" t="s">
        <v>110</v>
      </c>
      <c r="F125" s="56">
        <f>2*15.5</f>
        <v>31</v>
      </c>
      <c r="G125" s="52"/>
      <c r="H125" s="56"/>
    </row>
    <row r="126" spans="1:8" x14ac:dyDescent="0.2">
      <c r="A126" s="42"/>
      <c r="B126" s="50"/>
      <c r="C126" s="51"/>
      <c r="D126" s="43" t="s">
        <v>224</v>
      </c>
      <c r="E126" s="52" t="s">
        <v>110</v>
      </c>
      <c r="F126" s="56">
        <f>2*17.5</f>
        <v>35</v>
      </c>
      <c r="G126" s="52"/>
      <c r="H126" s="56"/>
    </row>
    <row r="127" spans="1:8" x14ac:dyDescent="0.2">
      <c r="A127" s="42"/>
      <c r="B127" s="50"/>
      <c r="C127" s="51"/>
      <c r="D127" s="43" t="s">
        <v>225</v>
      </c>
      <c r="E127" s="52" t="s">
        <v>110</v>
      </c>
      <c r="F127" s="56">
        <f>2*20</f>
        <v>40</v>
      </c>
      <c r="G127" s="52"/>
      <c r="H127" s="56"/>
    </row>
    <row r="128" spans="1:8" x14ac:dyDescent="0.2">
      <c r="A128" s="42"/>
      <c r="B128" s="50"/>
      <c r="C128" s="51"/>
      <c r="D128" s="43" t="s">
        <v>226</v>
      </c>
      <c r="E128" s="52" t="s">
        <v>110</v>
      </c>
      <c r="F128" s="56">
        <f>2*18</f>
        <v>36</v>
      </c>
      <c r="G128" s="52"/>
      <c r="H128" s="56"/>
    </row>
    <row r="129" spans="1:8" x14ac:dyDescent="0.2">
      <c r="A129" s="42"/>
      <c r="B129" s="50"/>
      <c r="C129" s="51"/>
      <c r="D129" s="43" t="s">
        <v>227</v>
      </c>
      <c r="E129" s="52" t="s">
        <v>110</v>
      </c>
      <c r="F129" s="56">
        <f>2*23.5</f>
        <v>47</v>
      </c>
      <c r="G129" s="52"/>
      <c r="H129" s="56"/>
    </row>
    <row r="130" spans="1:8" x14ac:dyDescent="0.2">
      <c r="A130" s="42"/>
      <c r="B130" s="50"/>
      <c r="C130" s="51"/>
      <c r="D130" s="43" t="s">
        <v>228</v>
      </c>
      <c r="E130" s="52" t="s">
        <v>110</v>
      </c>
      <c r="F130" s="56">
        <f>2*16</f>
        <v>32</v>
      </c>
      <c r="G130" s="52"/>
      <c r="H130" s="56"/>
    </row>
    <row r="131" spans="1:8" x14ac:dyDescent="0.2">
      <c r="A131" s="42"/>
      <c r="B131" s="50"/>
      <c r="C131" s="51"/>
      <c r="D131" s="43" t="s">
        <v>229</v>
      </c>
      <c r="E131" s="52" t="s">
        <v>110</v>
      </c>
      <c r="F131" s="56">
        <f>2*19</f>
        <v>38</v>
      </c>
      <c r="G131" s="52"/>
      <c r="H131" s="56"/>
    </row>
    <row r="132" spans="1:8" x14ac:dyDescent="0.2">
      <c r="A132" s="42"/>
      <c r="B132" s="50"/>
      <c r="C132" s="51"/>
      <c r="D132" s="43" t="s">
        <v>230</v>
      </c>
      <c r="E132" s="52" t="s">
        <v>110</v>
      </c>
      <c r="F132" s="56">
        <f>2*22.5</f>
        <v>45</v>
      </c>
      <c r="G132" s="52"/>
      <c r="H132" s="56"/>
    </row>
    <row r="133" spans="1:8" x14ac:dyDescent="0.2">
      <c r="A133" s="42"/>
      <c r="B133" s="50"/>
      <c r="C133" s="51"/>
      <c r="D133" s="43" t="s">
        <v>231</v>
      </c>
      <c r="E133" s="52" t="s">
        <v>110</v>
      </c>
      <c r="F133" s="56">
        <f>2*19.5</f>
        <v>39</v>
      </c>
      <c r="G133" s="52"/>
      <c r="H133" s="56"/>
    </row>
    <row r="134" spans="1:8" x14ac:dyDescent="0.2">
      <c r="A134" s="42"/>
      <c r="B134" s="50"/>
      <c r="C134" s="51"/>
      <c r="D134" s="43" t="s">
        <v>232</v>
      </c>
      <c r="E134" s="52" t="s">
        <v>110</v>
      </c>
      <c r="F134" s="56">
        <f>2*19.5</f>
        <v>39</v>
      </c>
      <c r="G134" s="52"/>
      <c r="H134" s="56"/>
    </row>
    <row r="135" spans="1:8" x14ac:dyDescent="0.2">
      <c r="A135" s="42"/>
      <c r="B135" s="50"/>
      <c r="C135" s="51"/>
      <c r="D135" s="43" t="s">
        <v>233</v>
      </c>
      <c r="E135" s="52" t="s">
        <v>110</v>
      </c>
      <c r="F135" s="56">
        <f>2*21</f>
        <v>42</v>
      </c>
      <c r="G135" s="52"/>
      <c r="H135" s="56"/>
    </row>
    <row r="136" spans="1:8" x14ac:dyDescent="0.2">
      <c r="A136" s="61"/>
      <c r="B136" s="145"/>
      <c r="C136" s="146"/>
      <c r="D136" s="141" t="s">
        <v>234</v>
      </c>
      <c r="E136" s="147" t="s">
        <v>110</v>
      </c>
      <c r="F136" s="99">
        <f>2*29</f>
        <v>58</v>
      </c>
      <c r="G136" s="147"/>
      <c r="H136" s="99"/>
    </row>
    <row r="137" spans="1:8" s="18" customFormat="1" ht="25.5" x14ac:dyDescent="0.2">
      <c r="A137" s="42">
        <v>7</v>
      </c>
      <c r="B137" s="139"/>
      <c r="C137" s="140"/>
      <c r="D137" s="141" t="s">
        <v>241</v>
      </c>
      <c r="E137" s="142" t="s">
        <v>8</v>
      </c>
      <c r="F137" s="149">
        <f>SUM(F138:F180)</f>
        <v>788.45000000000016</v>
      </c>
      <c r="G137" s="142"/>
      <c r="H137" s="149"/>
    </row>
    <row r="138" spans="1:8" x14ac:dyDescent="0.2">
      <c r="A138" s="42"/>
      <c r="B138" s="50"/>
      <c r="C138" s="51"/>
      <c r="D138" s="43" t="s">
        <v>242</v>
      </c>
      <c r="E138" s="52" t="s">
        <v>8</v>
      </c>
      <c r="F138" s="115">
        <v>14.45</v>
      </c>
      <c r="G138" s="52"/>
      <c r="H138" s="83"/>
    </row>
    <row r="139" spans="1:8" x14ac:dyDescent="0.2">
      <c r="A139" s="42"/>
      <c r="B139" s="50"/>
      <c r="C139" s="51"/>
      <c r="D139" s="43" t="s">
        <v>317</v>
      </c>
      <c r="E139" s="52" t="s">
        <v>8</v>
      </c>
      <c r="F139" s="115">
        <v>18</v>
      </c>
      <c r="G139" s="52"/>
      <c r="H139" s="56"/>
    </row>
    <row r="140" spans="1:8" x14ac:dyDescent="0.2">
      <c r="A140" s="42"/>
      <c r="B140" s="50"/>
      <c r="C140" s="51"/>
      <c r="D140" s="43" t="s">
        <v>318</v>
      </c>
      <c r="E140" s="52" t="s">
        <v>8</v>
      </c>
      <c r="F140" s="115">
        <v>19.649999999999999</v>
      </c>
      <c r="G140" s="52"/>
      <c r="H140" s="56"/>
    </row>
    <row r="141" spans="1:8" x14ac:dyDescent="0.2">
      <c r="A141" s="42"/>
      <c r="B141" s="50"/>
      <c r="C141" s="51"/>
      <c r="D141" s="43" t="s">
        <v>243</v>
      </c>
      <c r="E141" s="52" t="s">
        <v>8</v>
      </c>
      <c r="F141" s="115">
        <v>15.53</v>
      </c>
      <c r="G141" s="52"/>
      <c r="H141" s="56"/>
    </row>
    <row r="142" spans="1:8" x14ac:dyDescent="0.2">
      <c r="A142" s="42"/>
      <c r="B142" s="50"/>
      <c r="C142" s="51"/>
      <c r="D142" s="43" t="s">
        <v>244</v>
      </c>
      <c r="E142" s="52" t="s">
        <v>8</v>
      </c>
      <c r="F142" s="115">
        <v>16.09</v>
      </c>
      <c r="G142" s="52"/>
      <c r="H142" s="56"/>
    </row>
    <row r="143" spans="1:8" x14ac:dyDescent="0.2">
      <c r="A143" s="42"/>
      <c r="B143" s="50"/>
      <c r="C143" s="51"/>
      <c r="D143" s="43" t="s">
        <v>245</v>
      </c>
      <c r="E143" s="52" t="s">
        <v>8</v>
      </c>
      <c r="F143" s="115">
        <v>16.55</v>
      </c>
      <c r="G143" s="52"/>
      <c r="H143" s="56"/>
    </row>
    <row r="144" spans="1:8" x14ac:dyDescent="0.2">
      <c r="A144" s="42"/>
      <c r="B144" s="50"/>
      <c r="C144" s="51"/>
      <c r="D144" s="43" t="s">
        <v>246</v>
      </c>
      <c r="E144" s="52" t="s">
        <v>8</v>
      </c>
      <c r="F144" s="115">
        <v>21.15</v>
      </c>
      <c r="G144" s="52"/>
      <c r="H144" s="56"/>
    </row>
    <row r="145" spans="1:8" x14ac:dyDescent="0.2">
      <c r="A145" s="42"/>
      <c r="B145" s="50"/>
      <c r="C145" s="51"/>
      <c r="D145" s="43" t="s">
        <v>247</v>
      </c>
      <c r="E145" s="52" t="s">
        <v>8</v>
      </c>
      <c r="F145" s="115">
        <v>17.510000000000002</v>
      </c>
      <c r="G145" s="52"/>
      <c r="H145" s="56"/>
    </row>
    <row r="146" spans="1:8" x14ac:dyDescent="0.2">
      <c r="A146" s="42"/>
      <c r="B146" s="50"/>
      <c r="C146" s="51"/>
      <c r="D146" s="43" t="s">
        <v>248</v>
      </c>
      <c r="E146" s="52" t="s">
        <v>8</v>
      </c>
      <c r="F146" s="115">
        <v>17.7</v>
      </c>
      <c r="G146" s="52"/>
      <c r="H146" s="56"/>
    </row>
    <row r="147" spans="1:8" x14ac:dyDescent="0.2">
      <c r="A147" s="42"/>
      <c r="B147" s="50"/>
      <c r="C147" s="51"/>
      <c r="D147" s="43" t="s">
        <v>249</v>
      </c>
      <c r="E147" s="52" t="s">
        <v>8</v>
      </c>
      <c r="F147" s="115">
        <v>15.75</v>
      </c>
      <c r="G147" s="52"/>
      <c r="H147" s="56"/>
    </row>
    <row r="148" spans="1:8" x14ac:dyDescent="0.2">
      <c r="A148" s="42"/>
      <c r="B148" s="50"/>
      <c r="C148" s="51"/>
      <c r="D148" s="43" t="s">
        <v>250</v>
      </c>
      <c r="E148" s="52" t="s">
        <v>8</v>
      </c>
      <c r="F148" s="115">
        <v>15.23</v>
      </c>
      <c r="G148" s="52"/>
      <c r="H148" s="56"/>
    </row>
    <row r="149" spans="1:8" x14ac:dyDescent="0.2">
      <c r="A149" s="42"/>
      <c r="B149" s="50"/>
      <c r="C149" s="51"/>
      <c r="D149" s="43" t="s">
        <v>251</v>
      </c>
      <c r="E149" s="52" t="s">
        <v>8</v>
      </c>
      <c r="F149" s="115">
        <v>18.8</v>
      </c>
      <c r="G149" s="52"/>
      <c r="H149" s="56"/>
    </row>
    <row r="150" spans="1:8" x14ac:dyDescent="0.2">
      <c r="A150" s="42"/>
      <c r="B150" s="50"/>
      <c r="C150" s="51"/>
      <c r="D150" s="43" t="s">
        <v>252</v>
      </c>
      <c r="E150" s="52" t="s">
        <v>8</v>
      </c>
      <c r="F150" s="115">
        <v>16.12</v>
      </c>
      <c r="G150" s="52"/>
      <c r="H150" s="56"/>
    </row>
    <row r="151" spans="1:8" x14ac:dyDescent="0.2">
      <c r="A151" s="42"/>
      <c r="B151" s="50"/>
      <c r="C151" s="51"/>
      <c r="D151" s="43" t="s">
        <v>253</v>
      </c>
      <c r="E151" s="52" t="s">
        <v>8</v>
      </c>
      <c r="F151" s="115">
        <v>16.649999999999999</v>
      </c>
      <c r="G151" s="52"/>
      <c r="H151" s="56"/>
    </row>
    <row r="152" spans="1:8" x14ac:dyDescent="0.2">
      <c r="A152" s="42"/>
      <c r="B152" s="50"/>
      <c r="C152" s="51"/>
      <c r="D152" s="43" t="s">
        <v>254</v>
      </c>
      <c r="E152" s="52" t="s">
        <v>8</v>
      </c>
      <c r="F152" s="115">
        <v>19.489999999999998</v>
      </c>
      <c r="G152" s="52"/>
      <c r="H152" s="56"/>
    </row>
    <row r="153" spans="1:8" x14ac:dyDescent="0.2">
      <c r="A153" s="42"/>
      <c r="B153" s="50"/>
      <c r="C153" s="51"/>
      <c r="D153" s="43" t="s">
        <v>255</v>
      </c>
      <c r="E153" s="52" t="s">
        <v>8</v>
      </c>
      <c r="F153" s="115">
        <v>14.61</v>
      </c>
      <c r="G153" s="52"/>
      <c r="H153" s="56"/>
    </row>
    <row r="154" spans="1:8" x14ac:dyDescent="0.2">
      <c r="A154" s="42"/>
      <c r="B154" s="50"/>
      <c r="C154" s="51"/>
      <c r="D154" s="43" t="s">
        <v>256</v>
      </c>
      <c r="E154" s="52" t="s">
        <v>8</v>
      </c>
      <c r="F154" s="115">
        <v>19.510000000000002</v>
      </c>
      <c r="G154" s="52"/>
      <c r="H154" s="56"/>
    </row>
    <row r="155" spans="1:8" x14ac:dyDescent="0.2">
      <c r="A155" s="42"/>
      <c r="B155" s="50"/>
      <c r="C155" s="51"/>
      <c r="D155" s="43" t="s">
        <v>257</v>
      </c>
      <c r="E155" s="52" t="s">
        <v>8</v>
      </c>
      <c r="F155" s="115">
        <v>19.62</v>
      </c>
      <c r="G155" s="52"/>
      <c r="H155" s="56"/>
    </row>
    <row r="156" spans="1:8" x14ac:dyDescent="0.2">
      <c r="A156" s="42"/>
      <c r="B156" s="50"/>
      <c r="C156" s="51"/>
      <c r="D156" s="43" t="s">
        <v>258</v>
      </c>
      <c r="E156" s="52" t="s">
        <v>8</v>
      </c>
      <c r="F156" s="115">
        <v>15.7</v>
      </c>
      <c r="G156" s="52"/>
      <c r="H156" s="56"/>
    </row>
    <row r="157" spans="1:8" x14ac:dyDescent="0.2">
      <c r="A157" s="42"/>
      <c r="B157" s="50"/>
      <c r="C157" s="51"/>
      <c r="D157" s="43" t="s">
        <v>259</v>
      </c>
      <c r="E157" s="52" t="s">
        <v>8</v>
      </c>
      <c r="F157" s="115">
        <v>17.05</v>
      </c>
      <c r="G157" s="52"/>
      <c r="H157" s="56"/>
    </row>
    <row r="158" spans="1:8" x14ac:dyDescent="0.2">
      <c r="A158" s="42"/>
      <c r="B158" s="50"/>
      <c r="C158" s="51"/>
      <c r="D158" s="43" t="s">
        <v>260</v>
      </c>
      <c r="E158" s="52" t="s">
        <v>8</v>
      </c>
      <c r="F158" s="115">
        <v>15.24</v>
      </c>
      <c r="G158" s="52"/>
      <c r="H158" s="56"/>
    </row>
    <row r="159" spans="1:8" x14ac:dyDescent="0.2">
      <c r="A159" s="42"/>
      <c r="B159" s="50"/>
      <c r="C159" s="51"/>
      <c r="D159" s="43" t="s">
        <v>261</v>
      </c>
      <c r="E159" s="52" t="s">
        <v>8</v>
      </c>
      <c r="F159" s="115">
        <v>18.57</v>
      </c>
      <c r="G159" s="52"/>
      <c r="H159" s="56"/>
    </row>
    <row r="160" spans="1:8" x14ac:dyDescent="0.2">
      <c r="A160" s="42"/>
      <c r="B160" s="50"/>
      <c r="C160" s="51"/>
      <c r="D160" s="43" t="s">
        <v>262</v>
      </c>
      <c r="E160" s="52" t="s">
        <v>8</v>
      </c>
      <c r="F160" s="115">
        <v>15.42</v>
      </c>
      <c r="G160" s="52"/>
      <c r="H160" s="56"/>
    </row>
    <row r="161" spans="1:8" x14ac:dyDescent="0.2">
      <c r="A161" s="42"/>
      <c r="B161" s="50"/>
      <c r="C161" s="51"/>
      <c r="D161" s="43" t="s">
        <v>263</v>
      </c>
      <c r="E161" s="52" t="s">
        <v>8</v>
      </c>
      <c r="F161" s="115">
        <v>41.75</v>
      </c>
      <c r="G161" s="52"/>
      <c r="H161" s="56"/>
    </row>
    <row r="162" spans="1:8" x14ac:dyDescent="0.2">
      <c r="A162" s="42"/>
      <c r="B162" s="50"/>
      <c r="C162" s="51"/>
      <c r="D162" s="43" t="s">
        <v>267</v>
      </c>
      <c r="E162" s="52" t="s">
        <v>8</v>
      </c>
      <c r="F162" s="115">
        <v>20.55</v>
      </c>
      <c r="G162" s="52"/>
      <c r="H162" s="56"/>
    </row>
    <row r="163" spans="1:8" x14ac:dyDescent="0.2">
      <c r="A163" s="42"/>
      <c r="B163" s="50"/>
      <c r="C163" s="51"/>
      <c r="D163" s="43" t="s">
        <v>268</v>
      </c>
      <c r="E163" s="52" t="s">
        <v>8</v>
      </c>
      <c r="F163" s="115">
        <v>19.95</v>
      </c>
      <c r="G163" s="52"/>
      <c r="H163" s="56"/>
    </row>
    <row r="164" spans="1:8" x14ac:dyDescent="0.2">
      <c r="A164" s="42"/>
      <c r="B164" s="50"/>
      <c r="C164" s="51"/>
      <c r="D164" s="43" t="s">
        <v>272</v>
      </c>
      <c r="E164" s="52" t="s">
        <v>8</v>
      </c>
      <c r="F164" s="115">
        <v>17.23</v>
      </c>
      <c r="G164" s="52"/>
      <c r="H164" s="56"/>
    </row>
    <row r="165" spans="1:8" x14ac:dyDescent="0.2">
      <c r="A165" s="42"/>
      <c r="B165" s="50"/>
      <c r="C165" s="51"/>
      <c r="D165" s="43" t="s">
        <v>274</v>
      </c>
      <c r="E165" s="52" t="s">
        <v>8</v>
      </c>
      <c r="F165" s="115">
        <v>16.48</v>
      </c>
      <c r="G165" s="52"/>
      <c r="H165" s="56"/>
    </row>
    <row r="166" spans="1:8" x14ac:dyDescent="0.2">
      <c r="A166" s="42"/>
      <c r="B166" s="50"/>
      <c r="C166" s="51"/>
      <c r="D166" s="43" t="s">
        <v>275</v>
      </c>
      <c r="E166" s="52" t="s">
        <v>8</v>
      </c>
      <c r="F166" s="115">
        <v>16.170000000000002</v>
      </c>
      <c r="G166" s="52"/>
      <c r="H166" s="56"/>
    </row>
    <row r="167" spans="1:8" x14ac:dyDescent="0.2">
      <c r="A167" s="42"/>
      <c r="B167" s="50"/>
      <c r="C167" s="51"/>
      <c r="D167" s="43" t="s">
        <v>277</v>
      </c>
      <c r="E167" s="52" t="s">
        <v>8</v>
      </c>
      <c r="F167" s="115">
        <v>13.93</v>
      </c>
      <c r="G167" s="52"/>
      <c r="H167" s="56"/>
    </row>
    <row r="168" spans="1:8" x14ac:dyDescent="0.2">
      <c r="A168" s="42"/>
      <c r="B168" s="50"/>
      <c r="C168" s="51"/>
      <c r="D168" s="43" t="s">
        <v>278</v>
      </c>
      <c r="E168" s="52" t="s">
        <v>8</v>
      </c>
      <c r="F168" s="115">
        <v>19.5</v>
      </c>
      <c r="G168" s="52"/>
      <c r="H168" s="56"/>
    </row>
    <row r="169" spans="1:8" x14ac:dyDescent="0.2">
      <c r="A169" s="42"/>
      <c r="B169" s="50"/>
      <c r="C169" s="51"/>
      <c r="D169" s="43" t="s">
        <v>279</v>
      </c>
      <c r="E169" s="52" t="s">
        <v>8</v>
      </c>
      <c r="F169" s="115">
        <v>14.57</v>
      </c>
      <c r="G169" s="52"/>
      <c r="H169" s="56"/>
    </row>
    <row r="170" spans="1:8" x14ac:dyDescent="0.2">
      <c r="A170" s="42"/>
      <c r="B170" s="50"/>
      <c r="C170" s="51"/>
      <c r="D170" s="43" t="s">
        <v>280</v>
      </c>
      <c r="E170" s="52" t="s">
        <v>8</v>
      </c>
      <c r="F170" s="115">
        <v>16.36</v>
      </c>
      <c r="G170" s="52"/>
      <c r="H170" s="56"/>
    </row>
    <row r="171" spans="1:8" x14ac:dyDescent="0.2">
      <c r="A171" s="42"/>
      <c r="B171" s="50"/>
      <c r="C171" s="51"/>
      <c r="D171" s="43" t="s">
        <v>281</v>
      </c>
      <c r="E171" s="52" t="s">
        <v>8</v>
      </c>
      <c r="F171" s="115">
        <v>18.829999999999998</v>
      </c>
      <c r="G171" s="52"/>
      <c r="H171" s="56"/>
    </row>
    <row r="172" spans="1:8" x14ac:dyDescent="0.2">
      <c r="A172" s="42"/>
      <c r="B172" s="50"/>
      <c r="C172" s="51"/>
      <c r="D172" s="43" t="s">
        <v>282</v>
      </c>
      <c r="E172" s="52" t="s">
        <v>8</v>
      </c>
      <c r="F172" s="115">
        <v>16.940000000000001</v>
      </c>
      <c r="G172" s="52"/>
      <c r="H172" s="56"/>
    </row>
    <row r="173" spans="1:8" x14ac:dyDescent="0.2">
      <c r="A173" s="42"/>
      <c r="B173" s="50"/>
      <c r="C173" s="51"/>
      <c r="D173" s="43" t="s">
        <v>283</v>
      </c>
      <c r="E173" s="52" t="s">
        <v>8</v>
      </c>
      <c r="F173" s="115">
        <v>22.37</v>
      </c>
      <c r="G173" s="52"/>
      <c r="H173" s="56"/>
    </row>
    <row r="174" spans="1:8" x14ac:dyDescent="0.2">
      <c r="A174" s="42"/>
      <c r="B174" s="50"/>
      <c r="C174" s="51"/>
      <c r="D174" s="43" t="s">
        <v>284</v>
      </c>
      <c r="E174" s="52" t="s">
        <v>8</v>
      </c>
      <c r="F174" s="115">
        <v>14.85</v>
      </c>
      <c r="G174" s="52"/>
      <c r="H174" s="56"/>
    </row>
    <row r="175" spans="1:8" x14ac:dyDescent="0.2">
      <c r="A175" s="42"/>
      <c r="B175" s="50"/>
      <c r="C175" s="51"/>
      <c r="D175" s="43" t="s">
        <v>285</v>
      </c>
      <c r="E175" s="52" t="s">
        <v>8</v>
      </c>
      <c r="F175" s="115">
        <v>18.22</v>
      </c>
      <c r="G175" s="52"/>
      <c r="H175" s="56"/>
    </row>
    <row r="176" spans="1:8" x14ac:dyDescent="0.2">
      <c r="A176" s="42"/>
      <c r="B176" s="50"/>
      <c r="C176" s="51"/>
      <c r="D176" s="43" t="s">
        <v>286</v>
      </c>
      <c r="E176" s="52" t="s">
        <v>8</v>
      </c>
      <c r="F176" s="115">
        <v>21.27</v>
      </c>
      <c r="G176" s="52"/>
      <c r="H176" s="56"/>
    </row>
    <row r="177" spans="1:8" x14ac:dyDescent="0.2">
      <c r="A177" s="42"/>
      <c r="B177" s="50"/>
      <c r="C177" s="51"/>
      <c r="D177" s="43" t="s">
        <v>287</v>
      </c>
      <c r="E177" s="52" t="s">
        <v>8</v>
      </c>
      <c r="F177" s="115">
        <v>18.52</v>
      </c>
      <c r="G177" s="52"/>
      <c r="H177" s="56"/>
    </row>
    <row r="178" spans="1:8" x14ac:dyDescent="0.2">
      <c r="A178" s="42"/>
      <c r="B178" s="50"/>
      <c r="C178" s="51"/>
      <c r="D178" s="43" t="s">
        <v>288</v>
      </c>
      <c r="E178" s="52" t="s">
        <v>8</v>
      </c>
      <c r="F178" s="115">
        <v>18.48</v>
      </c>
      <c r="G178" s="52"/>
      <c r="H178" s="56"/>
    </row>
    <row r="179" spans="1:8" x14ac:dyDescent="0.2">
      <c r="A179" s="42"/>
      <c r="B179" s="50"/>
      <c r="C179" s="51"/>
      <c r="D179" s="43" t="s">
        <v>289</v>
      </c>
      <c r="E179" s="52" t="s">
        <v>8</v>
      </c>
      <c r="F179" s="115">
        <v>19.98</v>
      </c>
      <c r="G179" s="52"/>
      <c r="H179" s="56"/>
    </row>
    <row r="180" spans="1:8" x14ac:dyDescent="0.2">
      <c r="A180" s="61"/>
      <c r="B180" s="145"/>
      <c r="C180" s="146"/>
      <c r="D180" s="141" t="s">
        <v>290</v>
      </c>
      <c r="E180" s="147" t="s">
        <v>8</v>
      </c>
      <c r="F180" s="148">
        <v>28.11</v>
      </c>
      <c r="G180" s="147"/>
      <c r="H180" s="99"/>
    </row>
    <row r="181" spans="1:8" s="18" customFormat="1" ht="21" customHeight="1" x14ac:dyDescent="0.2">
      <c r="A181" s="42">
        <f>IF(C181=0,MAX($A$10:A180)+1," ")</f>
        <v>8</v>
      </c>
      <c r="B181" s="139"/>
      <c r="C181" s="140"/>
      <c r="D181" s="141" t="s">
        <v>46</v>
      </c>
      <c r="E181" s="142" t="s">
        <v>73</v>
      </c>
      <c r="F181" s="143">
        <f>SUM(F182:F230)</f>
        <v>13862.846299999999</v>
      </c>
      <c r="G181" s="144"/>
      <c r="H181" s="99"/>
    </row>
    <row r="182" spans="1:8" x14ac:dyDescent="0.2">
      <c r="A182" s="42"/>
      <c r="B182" s="50"/>
      <c r="C182" s="51"/>
      <c r="D182" s="43" t="s">
        <v>192</v>
      </c>
      <c r="E182" s="52" t="s">
        <v>73</v>
      </c>
      <c r="F182" s="56">
        <f t="shared" ref="F182:F187" si="0">F14-0.5*F138</f>
        <v>112.77500000000001</v>
      </c>
      <c r="G182" s="52"/>
      <c r="H182" s="56"/>
    </row>
    <row r="183" spans="1:8" x14ac:dyDescent="0.2">
      <c r="A183" s="42"/>
      <c r="B183" s="50"/>
      <c r="C183" s="51"/>
      <c r="D183" s="43" t="s">
        <v>193</v>
      </c>
      <c r="E183" s="52" t="s">
        <v>73</v>
      </c>
      <c r="F183" s="56">
        <f t="shared" si="0"/>
        <v>261</v>
      </c>
      <c r="G183" s="52"/>
      <c r="H183" s="56"/>
    </row>
    <row r="184" spans="1:8" x14ac:dyDescent="0.2">
      <c r="A184" s="42"/>
      <c r="B184" s="50"/>
      <c r="C184" s="51"/>
      <c r="D184" s="43" t="s">
        <v>194</v>
      </c>
      <c r="E184" s="52" t="s">
        <v>73</v>
      </c>
      <c r="F184" s="56">
        <f t="shared" si="0"/>
        <v>338.67500000000001</v>
      </c>
      <c r="G184" s="52"/>
      <c r="H184" s="56"/>
    </row>
    <row r="185" spans="1:8" x14ac:dyDescent="0.2">
      <c r="A185" s="42"/>
      <c r="B185" s="50"/>
      <c r="C185" s="51"/>
      <c r="D185" s="43" t="s">
        <v>195</v>
      </c>
      <c r="E185" s="52" t="s">
        <v>73</v>
      </c>
      <c r="F185" s="56">
        <f t="shared" si="0"/>
        <v>210.16500000000002</v>
      </c>
      <c r="G185" s="52"/>
      <c r="H185" s="56"/>
    </row>
    <row r="186" spans="1:8" x14ac:dyDescent="0.2">
      <c r="A186" s="42"/>
      <c r="B186" s="50"/>
      <c r="C186" s="51"/>
      <c r="D186" s="43" t="s">
        <v>196</v>
      </c>
      <c r="E186" s="52" t="s">
        <v>73</v>
      </c>
      <c r="F186" s="56">
        <f t="shared" si="0"/>
        <v>142.35500000000002</v>
      </c>
      <c r="G186" s="52"/>
      <c r="H186" s="56"/>
    </row>
    <row r="187" spans="1:8" x14ac:dyDescent="0.2">
      <c r="A187" s="42"/>
      <c r="B187" s="50"/>
      <c r="C187" s="51"/>
      <c r="D187" s="43" t="s">
        <v>197</v>
      </c>
      <c r="E187" s="52" t="s">
        <v>73</v>
      </c>
      <c r="F187" s="56">
        <f t="shared" si="0"/>
        <v>702.27500000000009</v>
      </c>
      <c r="G187" s="52"/>
      <c r="H187" s="56"/>
    </row>
    <row r="188" spans="1:8" x14ac:dyDescent="0.2">
      <c r="A188" s="42"/>
      <c r="B188" s="50"/>
      <c r="C188" s="51"/>
      <c r="D188" s="43" t="s">
        <v>198</v>
      </c>
      <c r="E188" s="52" t="s">
        <v>73</v>
      </c>
      <c r="F188" s="56">
        <f>F20-1.13*F144</f>
        <v>491.84050000000002</v>
      </c>
      <c r="G188" s="52"/>
      <c r="H188" s="56"/>
    </row>
    <row r="189" spans="1:8" x14ac:dyDescent="0.2">
      <c r="A189" s="42"/>
      <c r="B189" s="50"/>
      <c r="C189" s="51"/>
      <c r="D189" s="43" t="s">
        <v>199</v>
      </c>
      <c r="E189" s="52" t="s">
        <v>73</v>
      </c>
      <c r="F189" s="56">
        <f>F21-0.5*F145</f>
        <v>360.64499999999998</v>
      </c>
      <c r="G189" s="52"/>
      <c r="H189" s="56"/>
    </row>
    <row r="190" spans="1:8" x14ac:dyDescent="0.2">
      <c r="A190" s="42"/>
      <c r="B190" s="50"/>
      <c r="C190" s="51"/>
      <c r="D190" s="43" t="s">
        <v>200</v>
      </c>
      <c r="E190" s="52" t="s">
        <v>73</v>
      </c>
      <c r="F190" s="56">
        <f>F22-0.5*F146</f>
        <v>525.54999999999995</v>
      </c>
      <c r="G190" s="52"/>
      <c r="H190" s="56"/>
    </row>
    <row r="191" spans="1:8" x14ac:dyDescent="0.2">
      <c r="A191" s="42"/>
      <c r="B191" s="50"/>
      <c r="C191" s="51"/>
      <c r="D191" s="43" t="s">
        <v>201</v>
      </c>
      <c r="E191" s="52" t="s">
        <v>73</v>
      </c>
      <c r="F191" s="56">
        <f>F23-0.5*F147</f>
        <v>265.30499999999995</v>
      </c>
      <c r="G191" s="52"/>
      <c r="H191" s="56"/>
    </row>
    <row r="192" spans="1:8" x14ac:dyDescent="0.2">
      <c r="A192" s="42"/>
      <c r="B192" s="50"/>
      <c r="C192" s="51"/>
      <c r="D192" s="43" t="s">
        <v>202</v>
      </c>
      <c r="E192" s="52" t="s">
        <v>73</v>
      </c>
      <c r="F192" s="56">
        <f>F24-0.5*F148</f>
        <v>313.98500000000001</v>
      </c>
      <c r="G192" s="52"/>
      <c r="H192" s="56"/>
    </row>
    <row r="193" spans="1:8" x14ac:dyDescent="0.2">
      <c r="A193" s="42"/>
      <c r="B193" s="50"/>
      <c r="C193" s="51"/>
      <c r="D193" s="43" t="s">
        <v>203</v>
      </c>
      <c r="E193" s="52" t="s">
        <v>73</v>
      </c>
      <c r="F193" s="56">
        <f>F25-0.78*F149</f>
        <v>474.036</v>
      </c>
      <c r="G193" s="52"/>
      <c r="H193" s="56"/>
    </row>
    <row r="194" spans="1:8" x14ac:dyDescent="0.2">
      <c r="A194" s="42"/>
      <c r="B194" s="50"/>
      <c r="C194" s="51"/>
      <c r="D194" s="43" t="s">
        <v>204</v>
      </c>
      <c r="E194" s="52" t="s">
        <v>73</v>
      </c>
      <c r="F194" s="56">
        <f>F26-0.78*F150</f>
        <v>213.0264</v>
      </c>
      <c r="G194" s="52"/>
      <c r="H194" s="56"/>
    </row>
    <row r="195" spans="1:8" x14ac:dyDescent="0.2">
      <c r="A195" s="42"/>
      <c r="B195" s="50"/>
      <c r="C195" s="51"/>
      <c r="D195" s="43" t="s">
        <v>205</v>
      </c>
      <c r="E195" s="52" t="s">
        <v>73</v>
      </c>
      <c r="F195" s="56">
        <f>F27-0.5*F151</f>
        <v>315.79500000000002</v>
      </c>
      <c r="G195" s="52"/>
      <c r="H195" s="56"/>
    </row>
    <row r="196" spans="1:8" x14ac:dyDescent="0.2">
      <c r="A196" s="42"/>
      <c r="B196" s="50"/>
      <c r="C196" s="51"/>
      <c r="D196" s="43" t="s">
        <v>206</v>
      </c>
      <c r="E196" s="52" t="s">
        <v>73</v>
      </c>
      <c r="F196" s="56">
        <f>F28-0.5*F152</f>
        <v>434.65499999999997</v>
      </c>
      <c r="G196" s="52"/>
      <c r="H196" s="56"/>
    </row>
    <row r="197" spans="1:8" x14ac:dyDescent="0.2">
      <c r="A197" s="42"/>
      <c r="B197" s="50"/>
      <c r="C197" s="51"/>
      <c r="D197" s="43" t="s">
        <v>207</v>
      </c>
      <c r="E197" s="52" t="s">
        <v>73</v>
      </c>
      <c r="F197" s="56">
        <f>F29-0.5*F153</f>
        <v>85.113</v>
      </c>
      <c r="G197" s="52"/>
      <c r="H197" s="56"/>
    </row>
    <row r="198" spans="1:8" x14ac:dyDescent="0.2">
      <c r="A198" s="42"/>
      <c r="B198" s="50"/>
      <c r="C198" s="51"/>
      <c r="D198" s="43" t="s">
        <v>208</v>
      </c>
      <c r="E198" s="52" t="s">
        <v>73</v>
      </c>
      <c r="F198" s="56">
        <f>F30-0.5*F154</f>
        <v>325.64499999999998</v>
      </c>
      <c r="G198" s="52"/>
      <c r="H198" s="56"/>
    </row>
    <row r="199" spans="1:8" x14ac:dyDescent="0.2">
      <c r="A199" s="42"/>
      <c r="B199" s="50"/>
      <c r="C199" s="51"/>
      <c r="D199" s="43" t="s">
        <v>209</v>
      </c>
      <c r="E199" s="52" t="s">
        <v>73</v>
      </c>
      <c r="F199" s="56">
        <f>F31-0.78*F155</f>
        <v>338.93639999999999</v>
      </c>
      <c r="G199" s="52"/>
      <c r="H199" s="56"/>
    </row>
    <row r="200" spans="1:8" x14ac:dyDescent="0.2">
      <c r="A200" s="42"/>
      <c r="B200" s="50"/>
      <c r="C200" s="51"/>
      <c r="D200" s="43" t="s">
        <v>210</v>
      </c>
      <c r="E200" s="52" t="s">
        <v>73</v>
      </c>
      <c r="F200" s="56">
        <f>F32-0.78*F156</f>
        <v>205.35399999999998</v>
      </c>
      <c r="G200" s="52"/>
      <c r="H200" s="56"/>
    </row>
    <row r="201" spans="1:8" x14ac:dyDescent="0.2">
      <c r="A201" s="42"/>
      <c r="B201" s="50"/>
      <c r="C201" s="51"/>
      <c r="D201" s="43" t="s">
        <v>211</v>
      </c>
      <c r="E201" s="52" t="s">
        <v>73</v>
      </c>
      <c r="F201" s="56">
        <f>F33-0.5*F157</f>
        <v>378.85500000000002</v>
      </c>
      <c r="G201" s="52"/>
      <c r="H201" s="56"/>
    </row>
    <row r="202" spans="1:8" x14ac:dyDescent="0.2">
      <c r="A202" s="42"/>
      <c r="B202" s="50"/>
      <c r="C202" s="51"/>
      <c r="D202" s="43" t="s">
        <v>212</v>
      </c>
      <c r="E202" s="52" t="s">
        <v>73</v>
      </c>
      <c r="F202" s="56">
        <f>F34-0.5*F158</f>
        <v>268.02</v>
      </c>
      <c r="G202" s="52"/>
      <c r="H202" s="56"/>
    </row>
    <row r="203" spans="1:8" x14ac:dyDescent="0.2">
      <c r="A203" s="42"/>
      <c r="B203" s="50"/>
      <c r="C203" s="51"/>
      <c r="D203" s="43" t="s">
        <v>213</v>
      </c>
      <c r="E203" s="52" t="s">
        <v>73</v>
      </c>
      <c r="F203" s="56">
        <f>F35-0.5*F159</f>
        <v>186.79499999999999</v>
      </c>
      <c r="G203" s="52"/>
      <c r="H203" s="56"/>
    </row>
    <row r="204" spans="1:8" x14ac:dyDescent="0.2">
      <c r="A204" s="42"/>
      <c r="B204" s="50"/>
      <c r="C204" s="51"/>
      <c r="D204" s="43" t="s">
        <v>214</v>
      </c>
      <c r="E204" s="52" t="s">
        <v>73</v>
      </c>
      <c r="F204" s="56">
        <f>F36-0.5*F160</f>
        <v>165.68999999999997</v>
      </c>
      <c r="G204" s="52"/>
      <c r="H204" s="56"/>
    </row>
    <row r="205" spans="1:8" x14ac:dyDescent="0.2">
      <c r="A205" s="42"/>
      <c r="B205" s="50"/>
      <c r="C205" s="51"/>
      <c r="D205" s="43" t="s">
        <v>215</v>
      </c>
      <c r="E205" s="52" t="s">
        <v>73</v>
      </c>
      <c r="F205" s="56">
        <f>F37-0.78*F161</f>
        <v>142.58500000000001</v>
      </c>
      <c r="G205" s="52"/>
      <c r="H205" s="56"/>
    </row>
    <row r="206" spans="1:8" x14ac:dyDescent="0.2">
      <c r="A206" s="42"/>
      <c r="B206" s="50"/>
      <c r="C206" s="51"/>
      <c r="D206" s="43" t="s">
        <v>235</v>
      </c>
      <c r="E206" s="52" t="s">
        <v>73</v>
      </c>
      <c r="F206" s="56">
        <f>F38-1.6*F233</f>
        <v>824.096</v>
      </c>
      <c r="G206" s="52"/>
      <c r="H206" s="56"/>
    </row>
    <row r="207" spans="1:8" x14ac:dyDescent="0.2">
      <c r="A207" s="42"/>
      <c r="B207" s="50"/>
      <c r="C207" s="51"/>
      <c r="D207" s="43" t="s">
        <v>216</v>
      </c>
      <c r="E207" s="52" t="s">
        <v>73</v>
      </c>
      <c r="F207" s="56">
        <f>F39-0.8*F162</f>
        <v>155.32</v>
      </c>
      <c r="G207" s="52"/>
      <c r="H207" s="56"/>
    </row>
    <row r="208" spans="1:8" x14ac:dyDescent="0.2">
      <c r="A208" s="42"/>
      <c r="B208" s="50"/>
      <c r="C208" s="51"/>
      <c r="D208" s="43" t="s">
        <v>217</v>
      </c>
      <c r="E208" s="52" t="s">
        <v>73</v>
      </c>
      <c r="F208" s="56">
        <f>F40-0.5*F163</f>
        <v>76.125000000000014</v>
      </c>
      <c r="G208" s="52"/>
      <c r="H208" s="56"/>
    </row>
    <row r="209" spans="1:8" x14ac:dyDescent="0.2">
      <c r="A209" s="42"/>
      <c r="B209" s="50"/>
      <c r="C209" s="51"/>
      <c r="D209" s="43" t="s">
        <v>236</v>
      </c>
      <c r="E209" s="52" t="s">
        <v>73</v>
      </c>
      <c r="F209" s="56">
        <f>F41-1.6*F234</f>
        <v>150.15199999999999</v>
      </c>
      <c r="G209" s="52"/>
      <c r="H209" s="56"/>
    </row>
    <row r="210" spans="1:8" x14ac:dyDescent="0.2">
      <c r="A210" s="42"/>
      <c r="B210" s="50"/>
      <c r="C210" s="51"/>
      <c r="D210" s="43" t="s">
        <v>237</v>
      </c>
      <c r="E210" s="52" t="s">
        <v>73</v>
      </c>
      <c r="F210" s="56">
        <f>F42-1.6*F235</f>
        <v>238.50400000000002</v>
      </c>
      <c r="G210" s="52"/>
      <c r="H210" s="56"/>
    </row>
    <row r="211" spans="1:8" x14ac:dyDescent="0.2">
      <c r="A211" s="42"/>
      <c r="B211" s="50"/>
      <c r="C211" s="51"/>
      <c r="D211" s="43" t="s">
        <v>238</v>
      </c>
      <c r="E211" s="52" t="s">
        <v>73</v>
      </c>
      <c r="F211" s="56">
        <f>F43-1.6*F236</f>
        <v>218.13200000000001</v>
      </c>
      <c r="G211" s="52"/>
      <c r="H211" s="56"/>
    </row>
    <row r="212" spans="1:8" x14ac:dyDescent="0.2">
      <c r="A212" s="42"/>
      <c r="B212" s="50"/>
      <c r="C212" s="51"/>
      <c r="D212" s="43" t="s">
        <v>218</v>
      </c>
      <c r="E212" s="52" t="s">
        <v>73</v>
      </c>
      <c r="F212" s="56">
        <f>F44-0.5*F164</f>
        <v>178.86499999999998</v>
      </c>
      <c r="G212" s="52"/>
      <c r="H212" s="56"/>
    </row>
    <row r="213" spans="1:8" x14ac:dyDescent="0.2">
      <c r="A213" s="42"/>
      <c r="B213" s="50"/>
      <c r="C213" s="51"/>
      <c r="D213" s="43" t="s">
        <v>239</v>
      </c>
      <c r="E213" s="52" t="s">
        <v>73</v>
      </c>
      <c r="F213" s="56">
        <f>F45-1.6*F237</f>
        <v>354.32</v>
      </c>
      <c r="G213" s="52"/>
      <c r="H213" s="56"/>
    </row>
    <row r="214" spans="1:8" x14ac:dyDescent="0.2">
      <c r="A214" s="42"/>
      <c r="B214" s="50"/>
      <c r="C214" s="51"/>
      <c r="D214" s="43" t="s">
        <v>219</v>
      </c>
      <c r="E214" s="52" t="s">
        <v>73</v>
      </c>
      <c r="F214" s="56">
        <f>F46-0.8*F165</f>
        <v>196.36599999999999</v>
      </c>
      <c r="G214" s="52"/>
      <c r="H214" s="56"/>
    </row>
    <row r="215" spans="1:8" x14ac:dyDescent="0.2">
      <c r="A215" s="42"/>
      <c r="B215" s="50"/>
      <c r="C215" s="51"/>
      <c r="D215" s="43" t="s">
        <v>220</v>
      </c>
      <c r="E215" s="52" t="s">
        <v>73</v>
      </c>
      <c r="F215" s="56">
        <f>F47-0.5*F166</f>
        <v>179.83499999999998</v>
      </c>
      <c r="G215" s="52"/>
      <c r="H215" s="56"/>
    </row>
    <row r="216" spans="1:8" x14ac:dyDescent="0.2">
      <c r="A216" s="42"/>
      <c r="B216" s="50"/>
      <c r="C216" s="51"/>
      <c r="D216" s="43" t="s">
        <v>240</v>
      </c>
      <c r="E216" s="52" t="s">
        <v>73</v>
      </c>
      <c r="F216" s="56">
        <f>F48-0.5*F238</f>
        <v>114.73000000000002</v>
      </c>
      <c r="G216" s="52"/>
      <c r="H216" s="56"/>
    </row>
    <row r="217" spans="1:8" x14ac:dyDescent="0.2">
      <c r="A217" s="42"/>
      <c r="B217" s="50"/>
      <c r="C217" s="51"/>
      <c r="D217" s="43" t="s">
        <v>221</v>
      </c>
      <c r="E217" s="52" t="s">
        <v>73</v>
      </c>
      <c r="F217" s="56">
        <f t="shared" ref="F217:F230" si="1">F49-0.5*F167</f>
        <v>277.31500000000005</v>
      </c>
      <c r="G217" s="52"/>
      <c r="H217" s="56"/>
    </row>
    <row r="218" spans="1:8" x14ac:dyDescent="0.2">
      <c r="A218" s="42"/>
      <c r="B218" s="50"/>
      <c r="C218" s="51"/>
      <c r="D218" s="43" t="s">
        <v>222</v>
      </c>
      <c r="E218" s="52" t="s">
        <v>73</v>
      </c>
      <c r="F218" s="56">
        <f t="shared" si="1"/>
        <v>479.70000000000005</v>
      </c>
      <c r="G218" s="52"/>
      <c r="H218" s="56"/>
    </row>
    <row r="219" spans="1:8" x14ac:dyDescent="0.2">
      <c r="A219" s="42"/>
      <c r="B219" s="50"/>
      <c r="C219" s="51"/>
      <c r="D219" s="43" t="s">
        <v>223</v>
      </c>
      <c r="E219" s="52" t="s">
        <v>73</v>
      </c>
      <c r="F219" s="56">
        <f t="shared" si="1"/>
        <v>156.23499999999999</v>
      </c>
      <c r="G219" s="52"/>
      <c r="H219" s="56"/>
    </row>
    <row r="220" spans="1:8" x14ac:dyDescent="0.2">
      <c r="A220" s="42"/>
      <c r="B220" s="50"/>
      <c r="C220" s="51"/>
      <c r="D220" s="43" t="s">
        <v>224</v>
      </c>
      <c r="E220" s="52" t="s">
        <v>73</v>
      </c>
      <c r="F220" s="56">
        <f t="shared" si="1"/>
        <v>208.29999999999995</v>
      </c>
      <c r="G220" s="52"/>
      <c r="H220" s="56"/>
    </row>
    <row r="221" spans="1:8" x14ac:dyDescent="0.2">
      <c r="A221" s="42"/>
      <c r="B221" s="50"/>
      <c r="C221" s="51"/>
      <c r="D221" s="43" t="s">
        <v>225</v>
      </c>
      <c r="E221" s="52" t="s">
        <v>73</v>
      </c>
      <c r="F221" s="56">
        <f t="shared" si="1"/>
        <v>347.7949999999999</v>
      </c>
      <c r="G221" s="52"/>
      <c r="H221" s="56"/>
    </row>
    <row r="222" spans="1:8" x14ac:dyDescent="0.2">
      <c r="A222" s="42"/>
      <c r="B222" s="50"/>
      <c r="C222" s="51"/>
      <c r="D222" s="43" t="s">
        <v>226</v>
      </c>
      <c r="E222" s="52" t="s">
        <v>73</v>
      </c>
      <c r="F222" s="56">
        <f t="shared" si="1"/>
        <v>195.53</v>
      </c>
      <c r="G222" s="52"/>
      <c r="H222" s="56"/>
    </row>
    <row r="223" spans="1:8" x14ac:dyDescent="0.2">
      <c r="A223" s="42"/>
      <c r="B223" s="50"/>
      <c r="C223" s="51"/>
      <c r="D223" s="43" t="s">
        <v>227</v>
      </c>
      <c r="E223" s="52" t="s">
        <v>73</v>
      </c>
      <c r="F223" s="56">
        <f t="shared" si="1"/>
        <v>359.815</v>
      </c>
      <c r="G223" s="52"/>
      <c r="H223" s="56"/>
    </row>
    <row r="224" spans="1:8" x14ac:dyDescent="0.2">
      <c r="A224" s="42"/>
      <c r="B224" s="50"/>
      <c r="C224" s="51"/>
      <c r="D224" s="43" t="s">
        <v>228</v>
      </c>
      <c r="E224" s="52" t="s">
        <v>73</v>
      </c>
      <c r="F224" s="56">
        <f t="shared" si="1"/>
        <v>168.57499999999999</v>
      </c>
      <c r="G224" s="52"/>
      <c r="H224" s="56"/>
    </row>
    <row r="225" spans="1:8" x14ac:dyDescent="0.2">
      <c r="A225" s="42"/>
      <c r="B225" s="50"/>
      <c r="C225" s="51"/>
      <c r="D225" s="43" t="s">
        <v>229</v>
      </c>
      <c r="E225" s="52" t="s">
        <v>73</v>
      </c>
      <c r="F225" s="56">
        <f t="shared" si="1"/>
        <v>331.09</v>
      </c>
      <c r="G225" s="52"/>
      <c r="H225" s="56"/>
    </row>
    <row r="226" spans="1:8" x14ac:dyDescent="0.2">
      <c r="A226" s="42"/>
      <c r="B226" s="50"/>
      <c r="C226" s="51"/>
      <c r="D226" s="43" t="s">
        <v>230</v>
      </c>
      <c r="E226" s="52" t="s">
        <v>73</v>
      </c>
      <c r="F226" s="56">
        <f t="shared" si="1"/>
        <v>152.60500000000002</v>
      </c>
      <c r="G226" s="52"/>
      <c r="H226" s="56"/>
    </row>
    <row r="227" spans="1:8" x14ac:dyDescent="0.2">
      <c r="A227" s="42"/>
      <c r="B227" s="50"/>
      <c r="C227" s="51"/>
      <c r="D227" s="43" t="s">
        <v>231</v>
      </c>
      <c r="E227" s="52" t="s">
        <v>73</v>
      </c>
      <c r="F227" s="56">
        <f t="shared" si="1"/>
        <v>114.1</v>
      </c>
      <c r="G227" s="52"/>
      <c r="H227" s="56"/>
    </row>
    <row r="228" spans="1:8" x14ac:dyDescent="0.2">
      <c r="A228" s="42"/>
      <c r="B228" s="50"/>
      <c r="C228" s="51"/>
      <c r="D228" s="43" t="s">
        <v>232</v>
      </c>
      <c r="E228" s="52" t="s">
        <v>73</v>
      </c>
      <c r="F228" s="56">
        <f t="shared" si="1"/>
        <v>114.71000000000001</v>
      </c>
      <c r="G228" s="52"/>
      <c r="H228" s="56"/>
    </row>
    <row r="229" spans="1:8" x14ac:dyDescent="0.2">
      <c r="A229" s="42"/>
      <c r="B229" s="50"/>
      <c r="C229" s="51"/>
      <c r="D229" s="43" t="s">
        <v>233</v>
      </c>
      <c r="E229" s="52" t="s">
        <v>73</v>
      </c>
      <c r="F229" s="56">
        <f t="shared" si="1"/>
        <v>194.01</v>
      </c>
      <c r="G229" s="52"/>
      <c r="H229" s="56"/>
    </row>
    <row r="230" spans="1:8" x14ac:dyDescent="0.2">
      <c r="A230" s="42"/>
      <c r="B230" s="50"/>
      <c r="C230" s="51"/>
      <c r="D230" s="43" t="s">
        <v>234</v>
      </c>
      <c r="E230" s="52" t="s">
        <v>73</v>
      </c>
      <c r="F230" s="56">
        <f t="shared" si="1"/>
        <v>817.54500000000007</v>
      </c>
      <c r="G230" s="52"/>
      <c r="H230" s="56"/>
    </row>
    <row r="231" spans="1:8" ht="26.25" customHeight="1" x14ac:dyDescent="0.2">
      <c r="A231" s="28" t="str">
        <f>IF(C231=0,MAX($A$10:A180)+1," ")</f>
        <v xml:space="preserve"> </v>
      </c>
      <c r="B231" s="29" t="s">
        <v>9</v>
      </c>
      <c r="C231" s="30" t="s">
        <v>264</v>
      </c>
      <c r="D231" s="66" t="s">
        <v>297</v>
      </c>
      <c r="E231" s="66"/>
      <c r="F231" s="67"/>
      <c r="G231" s="66"/>
      <c r="H231" s="67"/>
    </row>
    <row r="232" spans="1:8" s="18" customFormat="1" ht="25.5" x14ac:dyDescent="0.2">
      <c r="A232" s="138">
        <v>9</v>
      </c>
      <c r="B232" s="31"/>
      <c r="C232" s="32"/>
      <c r="D232" s="22" t="s">
        <v>265</v>
      </c>
      <c r="E232" s="21" t="s">
        <v>8</v>
      </c>
      <c r="F232" s="11">
        <f>SUM(F233:F238)</f>
        <v>93.2</v>
      </c>
      <c r="G232" s="21"/>
      <c r="H232" s="11"/>
    </row>
    <row r="233" spans="1:8" x14ac:dyDescent="0.2">
      <c r="A233" s="42"/>
      <c r="B233" s="50"/>
      <c r="C233" s="51"/>
      <c r="D233" s="43" t="s">
        <v>266</v>
      </c>
      <c r="E233" s="52" t="s">
        <v>8</v>
      </c>
      <c r="F233" s="115">
        <v>15.19</v>
      </c>
      <c r="G233" s="52"/>
      <c r="H233" s="56"/>
    </row>
    <row r="234" spans="1:8" x14ac:dyDescent="0.2">
      <c r="A234" s="42"/>
      <c r="B234" s="50"/>
      <c r="C234" s="51"/>
      <c r="D234" s="43" t="s">
        <v>269</v>
      </c>
      <c r="E234" s="52" t="s">
        <v>8</v>
      </c>
      <c r="F234" s="115">
        <v>15.28</v>
      </c>
      <c r="G234" s="52"/>
      <c r="H234" s="56"/>
    </row>
    <row r="235" spans="1:8" x14ac:dyDescent="0.2">
      <c r="A235" s="42"/>
      <c r="B235" s="50"/>
      <c r="C235" s="51"/>
      <c r="D235" s="43" t="s">
        <v>270</v>
      </c>
      <c r="E235" s="52" t="s">
        <v>8</v>
      </c>
      <c r="F235" s="115">
        <v>14.56</v>
      </c>
      <c r="G235" s="52"/>
      <c r="H235" s="56"/>
    </row>
    <row r="236" spans="1:8" x14ac:dyDescent="0.2">
      <c r="A236" s="42"/>
      <c r="B236" s="50"/>
      <c r="C236" s="51"/>
      <c r="D236" s="43" t="s">
        <v>271</v>
      </c>
      <c r="E236" s="52" t="s">
        <v>8</v>
      </c>
      <c r="F236" s="115">
        <v>14.23</v>
      </c>
      <c r="G236" s="52"/>
      <c r="H236" s="56"/>
    </row>
    <row r="237" spans="1:8" x14ac:dyDescent="0.2">
      <c r="A237" s="42"/>
      <c r="B237" s="50"/>
      <c r="C237" s="51"/>
      <c r="D237" s="43" t="s">
        <v>273</v>
      </c>
      <c r="E237" s="52" t="s">
        <v>8</v>
      </c>
      <c r="F237" s="115">
        <v>19.8</v>
      </c>
      <c r="G237" s="52"/>
      <c r="H237" s="56"/>
    </row>
    <row r="238" spans="1:8" ht="13.5" thickBot="1" x14ac:dyDescent="0.25">
      <c r="A238" s="38"/>
      <c r="B238" s="58"/>
      <c r="C238" s="59"/>
      <c r="D238" s="39" t="s">
        <v>276</v>
      </c>
      <c r="E238" s="60" t="s">
        <v>8</v>
      </c>
      <c r="F238" s="116">
        <v>14.14</v>
      </c>
      <c r="G238" s="52"/>
      <c r="H238" s="56"/>
    </row>
    <row r="239" spans="1:8" ht="21" customHeight="1" thickBot="1" x14ac:dyDescent="0.25">
      <c r="F239" s="112" t="s">
        <v>320</v>
      </c>
      <c r="G239" s="118"/>
      <c r="H239" s="119"/>
    </row>
    <row r="244" spans="1:7" s="7" customFormat="1" x14ac:dyDescent="0.2">
      <c r="A244" s="1"/>
      <c r="B244" s="2"/>
      <c r="C244" s="2"/>
      <c r="D244" s="40"/>
      <c r="F244" s="3"/>
      <c r="G244" s="2"/>
    </row>
  </sheetData>
  <mergeCells count="14">
    <mergeCell ref="A1:H1"/>
    <mergeCell ref="G6:H6"/>
    <mergeCell ref="G7:G8"/>
    <mergeCell ref="H7:H8"/>
    <mergeCell ref="G239:H239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6" fitToHeight="58" orientation="portrait" useFirstPageNumber="1" r:id="rId1"/>
  <headerFooter alignWithMargins="0"/>
  <rowBreaks count="3" manualBreakCount="3">
    <brk id="75" min="1" max="7" man="1"/>
    <brk id="136" min="1" max="7" man="1"/>
    <brk id="180" min="1" max="7" man="1"/>
  </rowBreaks>
  <ignoredErrors>
    <ignoredError sqref="F188 F103 A79 A8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41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6.28515625" style="3" bestFit="1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customHeight="1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322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42.5*19.5</f>
        <v>828.75</v>
      </c>
      <c r="G13" s="25"/>
      <c r="H13" s="83"/>
    </row>
    <row r="14" spans="1:8" x14ac:dyDescent="0.2">
      <c r="A14" s="28" t="str">
        <f>IF(C14=0,MAX($A$10:A13)+1," ")</f>
        <v xml:space="preserve"> </v>
      </c>
      <c r="B14" s="29" t="s">
        <v>7</v>
      </c>
      <c r="C14" s="30" t="s">
        <v>47</v>
      </c>
      <c r="D14" s="66" t="s">
        <v>48</v>
      </c>
      <c r="E14" s="66"/>
      <c r="F14" s="101"/>
      <c r="G14" s="66"/>
      <c r="H14" s="84"/>
    </row>
    <row r="15" spans="1:8" ht="25.5" x14ac:dyDescent="0.2">
      <c r="A15" s="23">
        <f>IF(C15=0,MAX($A$10:A13)+1," ")</f>
        <v>2</v>
      </c>
      <c r="B15" s="24"/>
      <c r="C15" s="25"/>
      <c r="D15" s="26" t="s">
        <v>54</v>
      </c>
      <c r="E15" s="25" t="s">
        <v>21</v>
      </c>
      <c r="F15" s="102">
        <f>6.7*20.5*1.8</f>
        <v>247.23</v>
      </c>
      <c r="G15" s="25"/>
      <c r="H15" s="83"/>
    </row>
    <row r="16" spans="1:8" x14ac:dyDescent="0.2">
      <c r="A16" s="15" t="str">
        <f>IF(C16=0,MAX($A$10:A13)+1," ")</f>
        <v xml:space="preserve"> </v>
      </c>
      <c r="B16" s="16"/>
      <c r="C16" s="17" t="s">
        <v>14</v>
      </c>
      <c r="D16" s="64" t="s">
        <v>17</v>
      </c>
      <c r="E16" s="64"/>
      <c r="F16" s="100"/>
      <c r="G16" s="64"/>
      <c r="H16" s="85"/>
    </row>
    <row r="17" spans="1:8" x14ac:dyDescent="0.2">
      <c r="A17" s="28" t="str">
        <f>IF(C17=0,MAX($A$10:A16)+1," ")</f>
        <v xml:space="preserve"> </v>
      </c>
      <c r="B17" s="29" t="s">
        <v>7</v>
      </c>
      <c r="C17" s="30" t="s">
        <v>18</v>
      </c>
      <c r="D17" s="66" t="s">
        <v>139</v>
      </c>
      <c r="E17" s="66"/>
      <c r="F17" s="101"/>
      <c r="G17" s="66"/>
      <c r="H17" s="84"/>
    </row>
    <row r="18" spans="1:8" ht="15.75" x14ac:dyDescent="0.2">
      <c r="A18" s="23">
        <f>IF(C18=0,MAX($A$10:A16)+1," ")</f>
        <v>3</v>
      </c>
      <c r="B18" s="24"/>
      <c r="C18" s="25"/>
      <c r="D18" s="26" t="s">
        <v>141</v>
      </c>
      <c r="E18" s="25" t="s">
        <v>22</v>
      </c>
      <c r="F18" s="102">
        <f>(2*20.5+2*6.7)*8</f>
        <v>435.2</v>
      </c>
      <c r="G18" s="25"/>
      <c r="H18" s="83"/>
    </row>
    <row r="19" spans="1:8" s="10" customFormat="1" ht="15.75" x14ac:dyDescent="0.2">
      <c r="A19" s="12" t="str">
        <f>IF(C19=0,MAX(#REF!)+1," ")</f>
        <v xml:space="preserve"> </v>
      </c>
      <c r="B19" s="13"/>
      <c r="C19" s="14" t="s">
        <v>23</v>
      </c>
      <c r="D19" s="62" t="s">
        <v>24</v>
      </c>
      <c r="E19" s="62"/>
      <c r="F19" s="103"/>
      <c r="G19" s="62"/>
      <c r="H19" s="86"/>
    </row>
    <row r="20" spans="1:8" x14ac:dyDescent="0.2">
      <c r="A20" s="15" t="str">
        <f>IF(C20=0,MAX($A$10:A19)+1," ")</f>
        <v xml:space="preserve"> </v>
      </c>
      <c r="B20" s="16"/>
      <c r="C20" s="17" t="s">
        <v>25</v>
      </c>
      <c r="D20" s="64" t="s">
        <v>24</v>
      </c>
      <c r="E20" s="64"/>
      <c r="F20" s="100"/>
      <c r="G20" s="64"/>
      <c r="H20" s="85"/>
    </row>
    <row r="21" spans="1:8" x14ac:dyDescent="0.2">
      <c r="A21" s="28" t="str">
        <f>IF(C21=0,MAX($A$10:A20)+1," ")</f>
        <v xml:space="preserve"> </v>
      </c>
      <c r="B21" s="29" t="s">
        <v>27</v>
      </c>
      <c r="C21" s="30" t="s">
        <v>26</v>
      </c>
      <c r="D21" s="66" t="s">
        <v>28</v>
      </c>
      <c r="E21" s="66"/>
      <c r="F21" s="101"/>
      <c r="G21" s="66"/>
      <c r="H21" s="84"/>
    </row>
    <row r="22" spans="1:8" s="18" customFormat="1" x14ac:dyDescent="0.2">
      <c r="A22" s="23">
        <f>IF(C22=0,MAX($A$10:A21)+1," ")</f>
        <v>4</v>
      </c>
      <c r="B22" s="31"/>
      <c r="C22" s="32"/>
      <c r="D22" s="26" t="s">
        <v>29</v>
      </c>
      <c r="E22" s="33" t="s">
        <v>8</v>
      </c>
      <c r="F22" s="102">
        <f>2.1+3</f>
        <v>5.0999999999999996</v>
      </c>
      <c r="G22" s="33"/>
      <c r="H22" s="83"/>
    </row>
    <row r="23" spans="1:8" ht="26.25" customHeight="1" x14ac:dyDescent="0.2">
      <c r="A23" s="28" t="str">
        <f>IF(C23=0,MAX($A$10:A22)+1," ")</f>
        <v xml:space="preserve"> </v>
      </c>
      <c r="B23" s="29" t="s">
        <v>27</v>
      </c>
      <c r="C23" s="30" t="s">
        <v>122</v>
      </c>
      <c r="D23" s="66" t="s">
        <v>119</v>
      </c>
      <c r="E23" s="66"/>
      <c r="F23" s="101"/>
      <c r="G23" s="66"/>
      <c r="H23" s="84"/>
    </row>
    <row r="24" spans="1:8" s="18" customFormat="1" ht="25.5" x14ac:dyDescent="0.2">
      <c r="A24" s="23">
        <f>IF(C24=0,MAX($A$10:A22)+1," ")</f>
        <v>5</v>
      </c>
      <c r="B24" s="31"/>
      <c r="C24" s="32"/>
      <c r="D24" s="34" t="s">
        <v>30</v>
      </c>
      <c r="E24" s="33" t="s">
        <v>22</v>
      </c>
      <c r="F24" s="102">
        <f>14*1*2</f>
        <v>28</v>
      </c>
      <c r="G24" s="33"/>
      <c r="H24" s="83"/>
    </row>
    <row r="25" spans="1:8" x14ac:dyDescent="0.2">
      <c r="A25" s="28" t="str">
        <f>IF(C25=0,MAX($A$10:A24)+1," ")</f>
        <v xml:space="preserve"> </v>
      </c>
      <c r="B25" s="29" t="s">
        <v>27</v>
      </c>
      <c r="C25" s="30" t="s">
        <v>32</v>
      </c>
      <c r="D25" s="66" t="s">
        <v>121</v>
      </c>
      <c r="E25" s="66"/>
      <c r="F25" s="101"/>
      <c r="G25" s="66"/>
      <c r="H25" s="84"/>
    </row>
    <row r="26" spans="1:8" s="18" customFormat="1" ht="15.75" x14ac:dyDescent="0.2">
      <c r="A26" s="23">
        <f>IF(C26=0,MAX($A$10:A24)+1," ")</f>
        <v>6</v>
      </c>
      <c r="B26" s="31"/>
      <c r="C26" s="32"/>
      <c r="D26" s="34" t="s">
        <v>31</v>
      </c>
      <c r="E26" s="33" t="s">
        <v>22</v>
      </c>
      <c r="F26" s="102">
        <f>4*25</f>
        <v>100</v>
      </c>
      <c r="G26" s="33"/>
      <c r="H26" s="83"/>
    </row>
    <row r="27" spans="1:8" x14ac:dyDescent="0.2">
      <c r="A27" s="15" t="str">
        <f>IF(C27=0,MAX($A$10:A26)+1," ")</f>
        <v xml:space="preserve"> </v>
      </c>
      <c r="B27" s="16"/>
      <c r="C27" s="17" t="s">
        <v>37</v>
      </c>
      <c r="D27" s="64" t="s">
        <v>38</v>
      </c>
      <c r="E27" s="64"/>
      <c r="F27" s="100"/>
      <c r="G27" s="64"/>
      <c r="H27" s="85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41</v>
      </c>
      <c r="D28" s="66" t="s">
        <v>39</v>
      </c>
      <c r="E28" s="66"/>
      <c r="F28" s="101"/>
      <c r="G28" s="66"/>
      <c r="H28" s="84"/>
    </row>
    <row r="29" spans="1:8" s="18" customFormat="1" ht="25.5" customHeight="1" x14ac:dyDescent="0.2">
      <c r="A29" s="23">
        <f>IF(C29=0,MAX($A$10:A28)+1," ")</f>
        <v>7</v>
      </c>
      <c r="B29" s="31"/>
      <c r="C29" s="32"/>
      <c r="D29" s="26" t="s">
        <v>49</v>
      </c>
      <c r="E29" s="33" t="s">
        <v>40</v>
      </c>
      <c r="F29" s="105">
        <v>1</v>
      </c>
      <c r="G29" s="33"/>
      <c r="H29" s="83"/>
    </row>
    <row r="30" spans="1:8" x14ac:dyDescent="0.2">
      <c r="A30" s="28" t="str">
        <f>IF(C30=0,MAX($A$10:A29)+1," ")</f>
        <v xml:space="preserve"> </v>
      </c>
      <c r="B30" s="29" t="s">
        <v>27</v>
      </c>
      <c r="C30" s="30" t="s">
        <v>42</v>
      </c>
      <c r="D30" s="66" t="s">
        <v>43</v>
      </c>
      <c r="E30" s="66"/>
      <c r="F30" s="101"/>
      <c r="G30" s="66"/>
      <c r="H30" s="84"/>
    </row>
    <row r="31" spans="1:8" s="18" customFormat="1" x14ac:dyDescent="0.2">
      <c r="A31" s="23">
        <f>IF(C31=0,MAX($A$10:A30)+1," ")</f>
        <v>8</v>
      </c>
      <c r="B31" s="31"/>
      <c r="C31" s="32"/>
      <c r="D31" s="26" t="s">
        <v>43</v>
      </c>
      <c r="E31" s="33" t="s">
        <v>40</v>
      </c>
      <c r="F31" s="105">
        <v>1</v>
      </c>
      <c r="G31" s="33"/>
      <c r="H31" s="83"/>
    </row>
    <row r="32" spans="1:8" x14ac:dyDescent="0.2">
      <c r="A32" s="15" t="str">
        <f>IF(C32=0,MAX($A$10:A26)+1," ")</f>
        <v xml:space="preserve"> </v>
      </c>
      <c r="B32" s="16"/>
      <c r="C32" s="17" t="s">
        <v>33</v>
      </c>
      <c r="D32" s="64" t="s">
        <v>34</v>
      </c>
      <c r="E32" s="64"/>
      <c r="F32" s="100"/>
      <c r="G32" s="64"/>
      <c r="H32" s="85"/>
    </row>
    <row r="33" spans="1:8" x14ac:dyDescent="0.2">
      <c r="A33" s="28" t="str">
        <f>IF(C33=0,MAX($A$10:A32)+1," ")</f>
        <v xml:space="preserve"> </v>
      </c>
      <c r="B33" s="29" t="s">
        <v>9</v>
      </c>
      <c r="C33" s="30" t="s">
        <v>35</v>
      </c>
      <c r="D33" s="66" t="s">
        <v>36</v>
      </c>
      <c r="E33" s="66"/>
      <c r="F33" s="101"/>
      <c r="G33" s="66"/>
      <c r="H33" s="84"/>
    </row>
    <row r="34" spans="1:8" s="18" customFormat="1" ht="25.5" x14ac:dyDescent="0.2">
      <c r="A34" s="23">
        <f>IF(C34=0,MAX($A$10:A33)+1," ")</f>
        <v>9</v>
      </c>
      <c r="B34" s="19"/>
      <c r="C34" s="20"/>
      <c r="D34" s="22" t="s">
        <v>45</v>
      </c>
      <c r="E34" s="21" t="s">
        <v>8</v>
      </c>
      <c r="F34" s="113">
        <v>17.899999999999999</v>
      </c>
      <c r="G34" s="21"/>
      <c r="H34" s="83"/>
    </row>
    <row r="35" spans="1:8" s="18" customFormat="1" ht="16.5" thickBot="1" x14ac:dyDescent="0.25">
      <c r="A35" s="44">
        <f>IF(C35=0,MAX($A$10:A34)+1," ")</f>
        <v>10</v>
      </c>
      <c r="B35" s="45"/>
      <c r="C35" s="46"/>
      <c r="D35" s="92" t="s">
        <v>46</v>
      </c>
      <c r="E35" s="48" t="s">
        <v>21</v>
      </c>
      <c r="F35" s="114">
        <f>17*15.5</f>
        <v>263.5</v>
      </c>
      <c r="G35" s="48"/>
      <c r="H35" s="93"/>
    </row>
    <row r="36" spans="1:8" ht="21" customHeight="1" thickBot="1" x14ac:dyDescent="0.25">
      <c r="F36" s="112" t="s">
        <v>320</v>
      </c>
      <c r="G36" s="135"/>
      <c r="H36" s="136"/>
    </row>
    <row r="41" spans="1:8" x14ac:dyDescent="0.2">
      <c r="D41" s="40"/>
    </row>
  </sheetData>
  <mergeCells count="14">
    <mergeCell ref="A1:H1"/>
    <mergeCell ref="G6:H6"/>
    <mergeCell ref="G7:G8"/>
    <mergeCell ref="H7:H8"/>
    <mergeCell ref="G36:H36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8" fitToHeight="58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4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306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8"/>
      <c r="B8" s="123"/>
      <c r="C8" s="132"/>
      <c r="D8" s="132"/>
      <c r="E8" s="123"/>
      <c r="F8" s="125"/>
      <c r="G8" s="123"/>
      <c r="H8" s="125"/>
    </row>
    <row r="9" spans="1:8" x14ac:dyDescent="0.2">
      <c r="A9" s="94">
        <v>1</v>
      </c>
      <c r="B9" s="95">
        <v>2</v>
      </c>
      <c r="C9" s="95">
        <v>3</v>
      </c>
      <c r="D9" s="95">
        <v>4</v>
      </c>
      <c r="E9" s="95">
        <v>5</v>
      </c>
      <c r="F9" s="96">
        <v>6</v>
      </c>
      <c r="G9" s="95">
        <v>7</v>
      </c>
      <c r="H9" s="96">
        <v>8</v>
      </c>
    </row>
    <row r="10" spans="1:8" s="10" customFormat="1" ht="15.75" x14ac:dyDescent="0.2">
      <c r="A10" s="12" t="str">
        <f>IF(C10=0,MAX(#REF!)+1," ")</f>
        <v xml:space="preserve"> </v>
      </c>
      <c r="B10" s="13"/>
      <c r="C10" s="14" t="s">
        <v>10</v>
      </c>
      <c r="D10" s="62" t="s">
        <v>11</v>
      </c>
      <c r="E10" s="62"/>
      <c r="F10" s="63"/>
      <c r="G10" s="62"/>
      <c r="H10" s="63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45*21</f>
        <v>945</v>
      </c>
      <c r="G13" s="25"/>
      <c r="H13" s="83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64" t="s">
        <v>17</v>
      </c>
      <c r="E14" s="64"/>
      <c r="F14" s="100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66" t="s">
        <v>139</v>
      </c>
      <c r="E15" s="66"/>
      <c r="F15" s="101"/>
      <c r="G15" s="66"/>
      <c r="H15" s="67"/>
    </row>
    <row r="16" spans="1:8" ht="15.75" x14ac:dyDescent="0.2">
      <c r="A16" s="23">
        <f>IF(C16=0,MAX($A$10:A14)+1," ")</f>
        <v>2</v>
      </c>
      <c r="B16" s="24"/>
      <c r="C16" s="25"/>
      <c r="D16" s="26" t="s">
        <v>142</v>
      </c>
      <c r="E16" s="25" t="s">
        <v>22</v>
      </c>
      <c r="F16" s="102">
        <f>8*(2*21.6+2*8.2)</f>
        <v>476.8</v>
      </c>
      <c r="G16" s="25"/>
      <c r="H16" s="83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2" t="s">
        <v>24</v>
      </c>
      <c r="E17" s="62"/>
      <c r="F17" s="103"/>
      <c r="G17" s="62"/>
      <c r="H17" s="63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64" t="s">
        <v>24</v>
      </c>
      <c r="E18" s="64"/>
      <c r="F18" s="100"/>
      <c r="G18" s="64"/>
      <c r="H18" s="65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66" t="s">
        <v>28</v>
      </c>
      <c r="E19" s="66"/>
      <c r="F19" s="101"/>
      <c r="G19" s="66"/>
      <c r="H19" s="67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104">
        <f>4.32+4.59</f>
        <v>8.91</v>
      </c>
      <c r="G20" s="33"/>
      <c r="H20" s="83"/>
    </row>
    <row r="21" spans="1:8" ht="26.25" customHeight="1" x14ac:dyDescent="0.2">
      <c r="A21" s="28" t="str">
        <f>IF(C21=0,MAX($A$10:A20)+1," ")</f>
        <v xml:space="preserve"> </v>
      </c>
      <c r="B21" s="29" t="s">
        <v>27</v>
      </c>
      <c r="C21" s="30" t="s">
        <v>122</v>
      </c>
      <c r="D21" s="66" t="s">
        <v>119</v>
      </c>
      <c r="E21" s="66"/>
      <c r="F21" s="101"/>
      <c r="G21" s="66"/>
      <c r="H21" s="67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102">
        <f>14.5*1*2</f>
        <v>29</v>
      </c>
      <c r="G22" s="33"/>
      <c r="H22" s="83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66" t="s">
        <v>121</v>
      </c>
      <c r="E23" s="66"/>
      <c r="F23" s="101"/>
      <c r="G23" s="66"/>
      <c r="H23" s="67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102">
        <f>4.5*28</f>
        <v>126</v>
      </c>
      <c r="G24" s="33"/>
      <c r="H24" s="83"/>
    </row>
    <row r="25" spans="1:8" x14ac:dyDescent="0.2">
      <c r="A25" s="15" t="str">
        <f>IF(C25=0,MAX($A$10:A24)+1," ")</f>
        <v xml:space="preserve"> </v>
      </c>
      <c r="B25" s="16"/>
      <c r="C25" s="17" t="s">
        <v>37</v>
      </c>
      <c r="D25" s="64" t="s">
        <v>38</v>
      </c>
      <c r="E25" s="64"/>
      <c r="F25" s="100"/>
      <c r="G25" s="64"/>
      <c r="H25" s="65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41</v>
      </c>
      <c r="D26" s="66" t="s">
        <v>39</v>
      </c>
      <c r="E26" s="66"/>
      <c r="F26" s="101"/>
      <c r="G26" s="66"/>
      <c r="H26" s="67"/>
    </row>
    <row r="27" spans="1:8" s="18" customFormat="1" ht="26.25" customHeight="1" x14ac:dyDescent="0.2">
      <c r="A27" s="23">
        <f>IF(C27=0,MAX($A$10:A26)+1," ")</f>
        <v>6</v>
      </c>
      <c r="B27" s="31"/>
      <c r="C27" s="32"/>
      <c r="D27" s="26" t="s">
        <v>49</v>
      </c>
      <c r="E27" s="33" t="s">
        <v>40</v>
      </c>
      <c r="F27" s="105">
        <v>1</v>
      </c>
      <c r="G27" s="33"/>
      <c r="H27" s="83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42</v>
      </c>
      <c r="D28" s="66" t="s">
        <v>43</v>
      </c>
      <c r="E28" s="66"/>
      <c r="F28" s="101"/>
      <c r="G28" s="66"/>
      <c r="H28" s="67"/>
    </row>
    <row r="29" spans="1:8" s="18" customFormat="1" x14ac:dyDescent="0.2">
      <c r="A29" s="23">
        <f>IF(C29=0,MAX($A$10:A28)+1," ")</f>
        <v>7</v>
      </c>
      <c r="B29" s="31"/>
      <c r="C29" s="32"/>
      <c r="D29" s="26" t="s">
        <v>43</v>
      </c>
      <c r="E29" s="33" t="s">
        <v>40</v>
      </c>
      <c r="F29" s="105">
        <v>1</v>
      </c>
      <c r="G29" s="33"/>
      <c r="H29" s="83"/>
    </row>
    <row r="30" spans="1:8" x14ac:dyDescent="0.2">
      <c r="A30" s="15" t="str">
        <f>IF(C30=0,MAX($A$10:A24)+1," ")</f>
        <v xml:space="preserve"> </v>
      </c>
      <c r="B30" s="16"/>
      <c r="C30" s="17" t="s">
        <v>33</v>
      </c>
      <c r="D30" s="64" t="s">
        <v>34</v>
      </c>
      <c r="E30" s="64"/>
      <c r="F30" s="100"/>
      <c r="G30" s="64"/>
      <c r="H30" s="65"/>
    </row>
    <row r="31" spans="1:8" x14ac:dyDescent="0.2">
      <c r="A31" s="28" t="str">
        <f>IF(C31=0,MAX($A$10:A30)+1," ")</f>
        <v xml:space="preserve"> </v>
      </c>
      <c r="B31" s="29" t="s">
        <v>9</v>
      </c>
      <c r="C31" s="30" t="s">
        <v>35</v>
      </c>
      <c r="D31" s="66" t="s">
        <v>36</v>
      </c>
      <c r="E31" s="66"/>
      <c r="F31" s="101"/>
      <c r="G31" s="66"/>
      <c r="H31" s="67"/>
    </row>
    <row r="32" spans="1:8" s="18" customFormat="1" ht="108.75" customHeight="1" x14ac:dyDescent="0.2">
      <c r="A32" s="23">
        <f>IF(C32=0,MAX($A$10:A31)+1," ")</f>
        <v>8</v>
      </c>
      <c r="B32" s="31"/>
      <c r="C32" s="32"/>
      <c r="D32" s="26" t="s">
        <v>44</v>
      </c>
      <c r="E32" s="33" t="s">
        <v>22</v>
      </c>
      <c r="F32" s="102">
        <f>21*7.7</f>
        <v>161.70000000000002</v>
      </c>
      <c r="G32" s="33"/>
      <c r="H32" s="83"/>
    </row>
    <row r="33" spans="1:8" s="18" customFormat="1" ht="25.5" x14ac:dyDescent="0.2">
      <c r="A33" s="23">
        <f>IF(C33=0,MAX($A$10:A32)+1," ")</f>
        <v>9</v>
      </c>
      <c r="B33" s="19"/>
      <c r="C33" s="20"/>
      <c r="D33" s="22" t="s">
        <v>45</v>
      </c>
      <c r="E33" s="21" t="s">
        <v>8</v>
      </c>
      <c r="F33" s="113">
        <v>19</v>
      </c>
      <c r="G33" s="21"/>
      <c r="H33" s="83"/>
    </row>
    <row r="34" spans="1:8" s="18" customFormat="1" ht="16.5" thickBot="1" x14ac:dyDescent="0.25">
      <c r="A34" s="44">
        <f>IF(C34=0,MAX($A$10:A33)+1," ")</f>
        <v>10</v>
      </c>
      <c r="B34" s="45"/>
      <c r="C34" s="46"/>
      <c r="D34" s="92" t="s">
        <v>46</v>
      </c>
      <c r="E34" s="48" t="s">
        <v>21</v>
      </c>
      <c r="F34" s="114">
        <f>21*17</f>
        <v>357</v>
      </c>
      <c r="G34" s="48"/>
      <c r="H34" s="93"/>
    </row>
    <row r="35" spans="1:8" ht="21" customHeight="1" thickBot="1" x14ac:dyDescent="0.25">
      <c r="F35" s="112" t="s">
        <v>320</v>
      </c>
      <c r="G35" s="135"/>
      <c r="H35" s="136"/>
    </row>
    <row r="40" spans="1:8" s="7" customFormat="1" x14ac:dyDescent="0.2">
      <c r="A40" s="1"/>
      <c r="B40" s="2"/>
      <c r="C40" s="2"/>
      <c r="D40" s="40"/>
      <c r="F40" s="3"/>
      <c r="G40" s="2"/>
    </row>
  </sheetData>
  <mergeCells count="14">
    <mergeCell ref="A1:H1"/>
    <mergeCell ref="G6:H6"/>
    <mergeCell ref="G7:G8"/>
    <mergeCell ref="H7:H8"/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45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325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8"/>
      <c r="B8" s="123"/>
      <c r="C8" s="132"/>
      <c r="D8" s="132"/>
      <c r="E8" s="123"/>
      <c r="F8" s="125"/>
      <c r="G8" s="123"/>
      <c r="H8" s="125"/>
    </row>
    <row r="9" spans="1:8" x14ac:dyDescent="0.2">
      <c r="A9" s="94">
        <v>1</v>
      </c>
      <c r="B9" s="95">
        <v>2</v>
      </c>
      <c r="C9" s="95">
        <v>3</v>
      </c>
      <c r="D9" s="95">
        <v>4</v>
      </c>
      <c r="E9" s="95">
        <v>5</v>
      </c>
      <c r="F9" s="96">
        <v>6</v>
      </c>
      <c r="G9" s="95">
        <v>7</v>
      </c>
      <c r="H9" s="96">
        <v>8</v>
      </c>
    </row>
    <row r="10" spans="1:8" s="10" customFormat="1" ht="15.75" x14ac:dyDescent="0.2">
      <c r="A10" s="12" t="str">
        <f>IF(C10=0,MAX(#REF!)+1," ")</f>
        <v xml:space="preserve"> </v>
      </c>
      <c r="B10" s="13"/>
      <c r="C10" s="14" t="s">
        <v>10</v>
      </c>
      <c r="D10" s="62" t="s">
        <v>11</v>
      </c>
      <c r="E10" s="62"/>
      <c r="F10" s="63"/>
      <c r="G10" s="62"/>
      <c r="H10" s="63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114*23-27*9.5</f>
        <v>2365.5</v>
      </c>
      <c r="G13" s="25"/>
      <c r="H13" s="83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64" t="s">
        <v>17</v>
      </c>
      <c r="E14" s="64"/>
      <c r="F14" s="100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66" t="s">
        <v>140</v>
      </c>
      <c r="E15" s="66"/>
      <c r="F15" s="101"/>
      <c r="G15" s="66"/>
      <c r="H15" s="67"/>
    </row>
    <row r="16" spans="1:8" ht="15.75" x14ac:dyDescent="0.2">
      <c r="A16" s="23">
        <f>IF(C16=0,MAX($A$10:A14)+1," ")</f>
        <v>2</v>
      </c>
      <c r="B16" s="24"/>
      <c r="C16" s="25"/>
      <c r="D16" s="26" t="s">
        <v>142</v>
      </c>
      <c r="E16" s="25" t="s">
        <v>22</v>
      </c>
      <c r="F16" s="102">
        <f>8*(2*23.5+2*10.5)</f>
        <v>544</v>
      </c>
      <c r="G16" s="25"/>
      <c r="H16" s="83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2" t="s">
        <v>24</v>
      </c>
      <c r="E17" s="62"/>
      <c r="F17" s="103"/>
      <c r="G17" s="62"/>
      <c r="H17" s="63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64" t="s">
        <v>24</v>
      </c>
      <c r="E18" s="64"/>
      <c r="F18" s="100"/>
      <c r="G18" s="64"/>
      <c r="H18" s="65"/>
    </row>
    <row r="19" spans="1:8" x14ac:dyDescent="0.2">
      <c r="A19" s="28" t="str">
        <f>IF(C19=0,MAX($A$10:A16)+1," ")</f>
        <v xml:space="preserve"> </v>
      </c>
      <c r="B19" s="29" t="s">
        <v>27</v>
      </c>
      <c r="C19" s="30" t="s">
        <v>50</v>
      </c>
      <c r="D19" s="66" t="s">
        <v>51</v>
      </c>
      <c r="E19" s="66"/>
      <c r="F19" s="101"/>
      <c r="G19" s="66"/>
      <c r="H19" s="67"/>
    </row>
    <row r="20" spans="1:8" s="18" customFormat="1" ht="24" customHeight="1" x14ac:dyDescent="0.2">
      <c r="A20" s="23">
        <f>IF(C20=0,MAX($A$10:A19)+1," ")</f>
        <v>3</v>
      </c>
      <c r="B20" s="31"/>
      <c r="C20" s="32"/>
      <c r="D20" s="26" t="s">
        <v>52</v>
      </c>
      <c r="E20" s="33" t="s">
        <v>22</v>
      </c>
      <c r="F20" s="104">
        <f>22.9*6.9</f>
        <v>158.01</v>
      </c>
      <c r="G20" s="33"/>
      <c r="H20" s="83"/>
    </row>
    <row r="21" spans="1:8" x14ac:dyDescent="0.2">
      <c r="A21" s="28" t="str">
        <f>IF(C21=0,MAX($A$10:A18)+1," ")</f>
        <v xml:space="preserve"> </v>
      </c>
      <c r="B21" s="29" t="s">
        <v>27</v>
      </c>
      <c r="C21" s="30" t="s">
        <v>26</v>
      </c>
      <c r="D21" s="66" t="s">
        <v>28</v>
      </c>
      <c r="E21" s="66"/>
      <c r="F21" s="101"/>
      <c r="G21" s="66"/>
      <c r="H21" s="67"/>
    </row>
    <row r="22" spans="1:8" s="18" customFormat="1" x14ac:dyDescent="0.2">
      <c r="A22" s="23">
        <f>IF(C22=0,MAX($A$10:A21)+1," ")</f>
        <v>4</v>
      </c>
      <c r="B22" s="31"/>
      <c r="C22" s="32"/>
      <c r="D22" s="26" t="s">
        <v>29</v>
      </c>
      <c r="E22" s="33" t="s">
        <v>8</v>
      </c>
      <c r="F22" s="104">
        <f>6.48*2</f>
        <v>12.96</v>
      </c>
      <c r="G22" s="33"/>
      <c r="H22" s="83"/>
    </row>
    <row r="23" spans="1:8" ht="24" customHeight="1" x14ac:dyDescent="0.2">
      <c r="A23" s="28" t="str">
        <f>IF(C23=0,MAX($A$10:A20)+1," ")</f>
        <v xml:space="preserve"> </v>
      </c>
      <c r="B23" s="29" t="s">
        <v>27</v>
      </c>
      <c r="C23" s="30" t="s">
        <v>295</v>
      </c>
      <c r="D23" s="66" t="s">
        <v>296</v>
      </c>
      <c r="E23" s="66"/>
      <c r="F23" s="101"/>
      <c r="G23" s="66"/>
      <c r="H23" s="67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307</v>
      </c>
      <c r="E24" s="33" t="s">
        <v>22</v>
      </c>
      <c r="F24" s="102">
        <f>40+65</f>
        <v>105</v>
      </c>
      <c r="G24" s="33"/>
      <c r="H24" s="83"/>
    </row>
    <row r="25" spans="1:8" ht="26.25" customHeight="1" x14ac:dyDescent="0.2">
      <c r="A25" s="28" t="str">
        <f>IF(C25=0,MAX($A$10:A22)+1," ")</f>
        <v xml:space="preserve"> </v>
      </c>
      <c r="B25" s="29" t="s">
        <v>27</v>
      </c>
      <c r="C25" s="30" t="s">
        <v>122</v>
      </c>
      <c r="D25" s="66" t="s">
        <v>119</v>
      </c>
      <c r="E25" s="66"/>
      <c r="F25" s="101"/>
      <c r="G25" s="66"/>
      <c r="H25" s="67"/>
    </row>
    <row r="26" spans="1:8" s="18" customFormat="1" ht="25.5" x14ac:dyDescent="0.2">
      <c r="A26" s="23">
        <f>IF(C26=0,MAX($A$10:A24)+1," ")</f>
        <v>6</v>
      </c>
      <c r="B26" s="31"/>
      <c r="C26" s="32"/>
      <c r="D26" s="34" t="s">
        <v>30</v>
      </c>
      <c r="E26" s="33" t="s">
        <v>22</v>
      </c>
      <c r="F26" s="102">
        <f>16.5</f>
        <v>16.5</v>
      </c>
      <c r="G26" s="33"/>
      <c r="H26" s="83"/>
    </row>
    <row r="27" spans="1:8" s="18" customFormat="1" ht="15.75" x14ac:dyDescent="0.2">
      <c r="A27" s="23">
        <f>IF(C27=0,MAX($A$10:A26)+1," ")</f>
        <v>7</v>
      </c>
      <c r="B27" s="31"/>
      <c r="C27" s="32"/>
      <c r="D27" s="34" t="s">
        <v>53</v>
      </c>
      <c r="E27" s="33" t="s">
        <v>22</v>
      </c>
      <c r="F27" s="102">
        <v>11.5</v>
      </c>
      <c r="G27" s="33"/>
      <c r="H27" s="83"/>
    </row>
    <row r="28" spans="1:8" x14ac:dyDescent="0.2">
      <c r="A28" s="28" t="str">
        <f>IF(C28=0,MAX($A$10:A26)+1," ")</f>
        <v xml:space="preserve"> </v>
      </c>
      <c r="B28" s="29" t="s">
        <v>27</v>
      </c>
      <c r="C28" s="30" t="s">
        <v>32</v>
      </c>
      <c r="D28" s="66" t="s">
        <v>121</v>
      </c>
      <c r="E28" s="66"/>
      <c r="F28" s="101"/>
      <c r="G28" s="66"/>
      <c r="H28" s="67"/>
    </row>
    <row r="29" spans="1:8" s="18" customFormat="1" ht="15.75" x14ac:dyDescent="0.2">
      <c r="A29" s="23">
        <f>IF(C29=0,MAX($A$10:A27)+1," ")</f>
        <v>8</v>
      </c>
      <c r="B29" s="31"/>
      <c r="C29" s="32"/>
      <c r="D29" s="34" t="s">
        <v>31</v>
      </c>
      <c r="E29" s="33" t="s">
        <v>22</v>
      </c>
      <c r="F29" s="102">
        <f>8*33</f>
        <v>264</v>
      </c>
      <c r="G29" s="33"/>
      <c r="H29" s="83"/>
    </row>
    <row r="30" spans="1:8" x14ac:dyDescent="0.2">
      <c r="A30" s="15" t="str">
        <f>IF(C30=0,MAX($A$10:A29)+1," ")</f>
        <v xml:space="preserve"> </v>
      </c>
      <c r="B30" s="16"/>
      <c r="C30" s="17" t="s">
        <v>37</v>
      </c>
      <c r="D30" s="64" t="s">
        <v>38</v>
      </c>
      <c r="E30" s="64"/>
      <c r="F30" s="100"/>
      <c r="G30" s="64"/>
      <c r="H30" s="65"/>
    </row>
    <row r="31" spans="1:8" x14ac:dyDescent="0.2">
      <c r="A31" s="28" t="str">
        <f>IF(C31=0,MAX($A$10:A30)+1," ")</f>
        <v xml:space="preserve"> </v>
      </c>
      <c r="B31" s="29" t="s">
        <v>27</v>
      </c>
      <c r="C31" s="30" t="s">
        <v>41</v>
      </c>
      <c r="D31" s="66" t="s">
        <v>39</v>
      </c>
      <c r="E31" s="66"/>
      <c r="F31" s="101"/>
      <c r="G31" s="66"/>
      <c r="H31" s="67"/>
    </row>
    <row r="32" spans="1:8" s="18" customFormat="1" ht="24.75" customHeight="1" x14ac:dyDescent="0.2">
      <c r="A32" s="23">
        <f>IF(C32=0,MAX($A$10:A31)+1," ")</f>
        <v>9</v>
      </c>
      <c r="B32" s="31"/>
      <c r="C32" s="32"/>
      <c r="D32" s="26" t="s">
        <v>49</v>
      </c>
      <c r="E32" s="33" t="s">
        <v>40</v>
      </c>
      <c r="F32" s="105">
        <v>1</v>
      </c>
      <c r="G32" s="33"/>
      <c r="H32" s="83"/>
    </row>
    <row r="33" spans="1:8" x14ac:dyDescent="0.2">
      <c r="A33" s="28" t="str">
        <f>IF(C33=0,MAX($A$10:A32)+1," ")</f>
        <v xml:space="preserve"> </v>
      </c>
      <c r="B33" s="29" t="s">
        <v>27</v>
      </c>
      <c r="C33" s="30" t="s">
        <v>42</v>
      </c>
      <c r="D33" s="66" t="s">
        <v>43</v>
      </c>
      <c r="E33" s="66"/>
      <c r="F33" s="101"/>
      <c r="G33" s="66"/>
      <c r="H33" s="67"/>
    </row>
    <row r="34" spans="1:8" s="18" customFormat="1" x14ac:dyDescent="0.2">
      <c r="A34" s="23">
        <f>IF(C34=0,MAX($A$10:A33)+1," ")</f>
        <v>10</v>
      </c>
      <c r="B34" s="31"/>
      <c r="C34" s="32"/>
      <c r="D34" s="26" t="s">
        <v>43</v>
      </c>
      <c r="E34" s="33" t="s">
        <v>40</v>
      </c>
      <c r="F34" s="105">
        <v>1</v>
      </c>
      <c r="G34" s="33"/>
      <c r="H34" s="83"/>
    </row>
    <row r="35" spans="1:8" x14ac:dyDescent="0.2">
      <c r="A35" s="15" t="str">
        <f>IF(C35=0,MAX($A$10:A29)+1," ")</f>
        <v xml:space="preserve"> </v>
      </c>
      <c r="B35" s="16"/>
      <c r="C35" s="17" t="s">
        <v>33</v>
      </c>
      <c r="D35" s="64" t="s">
        <v>34</v>
      </c>
      <c r="E35" s="64"/>
      <c r="F35" s="100"/>
      <c r="G35" s="64"/>
      <c r="H35" s="65"/>
    </row>
    <row r="36" spans="1:8" x14ac:dyDescent="0.2">
      <c r="A36" s="28" t="str">
        <f>IF(C36=0,MAX($A$10:A35)+1," ")</f>
        <v xml:space="preserve"> </v>
      </c>
      <c r="B36" s="29" t="s">
        <v>9</v>
      </c>
      <c r="C36" s="30" t="s">
        <v>35</v>
      </c>
      <c r="D36" s="66" t="s">
        <v>36</v>
      </c>
      <c r="E36" s="66"/>
      <c r="F36" s="101"/>
      <c r="G36" s="66"/>
      <c r="H36" s="67"/>
    </row>
    <row r="37" spans="1:8" s="18" customFormat="1" ht="108.75" customHeight="1" x14ac:dyDescent="0.2">
      <c r="A37" s="23">
        <f>IF(C37=0,MAX($A$10:A36)+1," ")</f>
        <v>11</v>
      </c>
      <c r="B37" s="31"/>
      <c r="C37" s="32"/>
      <c r="D37" s="26" t="s">
        <v>44</v>
      </c>
      <c r="E37" s="33" t="s">
        <v>22</v>
      </c>
      <c r="F37" s="102">
        <f>23.5*10.5</f>
        <v>246.75</v>
      </c>
      <c r="G37" s="33"/>
      <c r="H37" s="83"/>
    </row>
    <row r="38" spans="1:8" s="18" customFormat="1" ht="25.5" x14ac:dyDescent="0.2">
      <c r="A38" s="23">
        <f>IF(C38=0,MAX($A$10:A37)+1," ")</f>
        <v>12</v>
      </c>
      <c r="B38" s="31"/>
      <c r="C38" s="32"/>
      <c r="D38" s="34" t="s">
        <v>45</v>
      </c>
      <c r="E38" s="33" t="s">
        <v>8</v>
      </c>
      <c r="F38" s="102">
        <v>19.899999999999999</v>
      </c>
      <c r="G38" s="33"/>
      <c r="H38" s="83"/>
    </row>
    <row r="39" spans="1:8" s="18" customFormat="1" ht="16.5" thickBot="1" x14ac:dyDescent="0.25">
      <c r="A39" s="44">
        <f>IF(C39=0,MAX($A$10:A38)+1," ")</f>
        <v>13</v>
      </c>
      <c r="B39" s="45"/>
      <c r="C39" s="46"/>
      <c r="D39" s="92" t="s">
        <v>46</v>
      </c>
      <c r="E39" s="48" t="s">
        <v>21</v>
      </c>
      <c r="F39" s="114">
        <f>88*0.8*20</f>
        <v>1408</v>
      </c>
      <c r="G39" s="48"/>
      <c r="H39" s="93"/>
    </row>
    <row r="40" spans="1:8" ht="21" customHeight="1" thickBot="1" x14ac:dyDescent="0.25">
      <c r="F40" s="112" t="s">
        <v>320</v>
      </c>
      <c r="G40" s="135"/>
      <c r="H40" s="136"/>
    </row>
    <row r="45" spans="1:8" s="7" customFormat="1" x14ac:dyDescent="0.2">
      <c r="A45" s="1"/>
      <c r="B45" s="2"/>
      <c r="C45" s="2"/>
      <c r="D45" s="40"/>
      <c r="F45" s="3"/>
      <c r="G45" s="2"/>
    </row>
  </sheetData>
  <mergeCells count="14">
    <mergeCell ref="A1:H1"/>
    <mergeCell ref="G6:H6"/>
    <mergeCell ref="G7:G8"/>
    <mergeCell ref="H7:H8"/>
    <mergeCell ref="G40:H40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21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1.8554687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326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x14ac:dyDescent="0.2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12" t="str">
        <f>IF(C10=0,MAX(#REF!)+1," ")</f>
        <v xml:space="preserve"> </v>
      </c>
      <c r="B10" s="13"/>
      <c r="C10" s="14" t="s">
        <v>23</v>
      </c>
      <c r="D10" s="62" t="s">
        <v>24</v>
      </c>
      <c r="E10" s="62"/>
      <c r="F10" s="63"/>
      <c r="G10" s="62"/>
      <c r="H10" s="63"/>
    </row>
    <row r="11" spans="1:8" x14ac:dyDescent="0.2">
      <c r="A11" s="15" t="str">
        <f>IF(C11=0,MAX($A$10:A10)+1," ")</f>
        <v xml:space="preserve"> </v>
      </c>
      <c r="B11" s="16"/>
      <c r="C11" s="17" t="s">
        <v>37</v>
      </c>
      <c r="D11" s="64" t="s">
        <v>38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27</v>
      </c>
      <c r="C12" s="30" t="s">
        <v>41</v>
      </c>
      <c r="D12" s="66" t="s">
        <v>39</v>
      </c>
      <c r="E12" s="66"/>
      <c r="F12" s="67"/>
      <c r="G12" s="66"/>
      <c r="H12" s="67"/>
    </row>
    <row r="13" spans="1:8" s="18" customFormat="1" ht="25.5" x14ac:dyDescent="0.2">
      <c r="A13" s="23">
        <f>IF(C13=0,MAX($A$10:A12)+1," ")</f>
        <v>1</v>
      </c>
      <c r="B13" s="31"/>
      <c r="C13" s="32"/>
      <c r="D13" s="26" t="s">
        <v>49</v>
      </c>
      <c r="E13" s="33" t="s">
        <v>40</v>
      </c>
      <c r="F13" s="105">
        <v>1</v>
      </c>
      <c r="G13" s="33"/>
      <c r="H13" s="35"/>
    </row>
    <row r="14" spans="1:8" x14ac:dyDescent="0.2">
      <c r="A14" s="28" t="str">
        <f>IF(C14=0,MAX($A$10:A13)+1," ")</f>
        <v xml:space="preserve"> </v>
      </c>
      <c r="B14" s="29" t="s">
        <v>27</v>
      </c>
      <c r="C14" s="30" t="s">
        <v>42</v>
      </c>
      <c r="D14" s="66" t="s">
        <v>43</v>
      </c>
      <c r="E14" s="66"/>
      <c r="F14" s="101"/>
      <c r="G14" s="66"/>
      <c r="H14" s="67"/>
    </row>
    <row r="15" spans="1:8" s="18" customFormat="1" ht="13.5" thickBot="1" x14ac:dyDescent="0.25">
      <c r="A15" s="44">
        <f>IF(C15=0,MAX($A$10:A14)+1," ")</f>
        <v>2</v>
      </c>
      <c r="B15" s="45"/>
      <c r="C15" s="46"/>
      <c r="D15" s="47" t="s">
        <v>43</v>
      </c>
      <c r="E15" s="48" t="s">
        <v>40</v>
      </c>
      <c r="F15" s="108">
        <v>1</v>
      </c>
      <c r="G15" s="48"/>
      <c r="H15" s="49"/>
    </row>
    <row r="16" spans="1:8" ht="21" customHeight="1" thickBot="1" x14ac:dyDescent="0.25">
      <c r="F16" s="112" t="s">
        <v>320</v>
      </c>
      <c r="G16" s="135"/>
      <c r="H16" s="136"/>
    </row>
    <row r="21" spans="1:7" s="7" customFormat="1" x14ac:dyDescent="0.2">
      <c r="A21" s="1"/>
      <c r="B21" s="2"/>
      <c r="C21" s="2"/>
      <c r="D21" s="40"/>
      <c r="F21" s="3"/>
      <c r="G21" s="2"/>
    </row>
  </sheetData>
  <mergeCells count="14">
    <mergeCell ref="A1:H1"/>
    <mergeCell ref="G6:H6"/>
    <mergeCell ref="G7:G8"/>
    <mergeCell ref="H7:H8"/>
    <mergeCell ref="G16:H16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76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8.14062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308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8"/>
      <c r="B8" s="123"/>
      <c r="C8" s="132"/>
      <c r="D8" s="132"/>
      <c r="E8" s="123"/>
      <c r="F8" s="125"/>
      <c r="G8" s="123"/>
      <c r="H8" s="125"/>
    </row>
    <row r="9" spans="1:8" x14ac:dyDescent="0.2">
      <c r="A9" s="94">
        <v>1</v>
      </c>
      <c r="B9" s="95">
        <v>2</v>
      </c>
      <c r="C9" s="95">
        <v>3</v>
      </c>
      <c r="D9" s="95">
        <v>4</v>
      </c>
      <c r="E9" s="95">
        <v>5</v>
      </c>
      <c r="F9" s="96">
        <v>6</v>
      </c>
      <c r="G9" s="95">
        <v>7</v>
      </c>
      <c r="H9" s="96">
        <v>8</v>
      </c>
    </row>
    <row r="10" spans="1:8" s="10" customFormat="1" ht="15.75" x14ac:dyDescent="0.2">
      <c r="A10" s="12" t="str">
        <f>IF(C10=0,MAX(#REF!)+1," ")</f>
        <v xml:space="preserve"> </v>
      </c>
      <c r="B10" s="13"/>
      <c r="C10" s="14" t="s">
        <v>10</v>
      </c>
      <c r="D10" s="62" t="s">
        <v>11</v>
      </c>
      <c r="E10" s="62"/>
      <c r="F10" s="63"/>
      <c r="G10" s="62"/>
      <c r="H10" s="63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73*16</f>
        <v>1168</v>
      </c>
      <c r="G13" s="25"/>
      <c r="H13" s="83"/>
    </row>
    <row r="14" spans="1:8" x14ac:dyDescent="0.2">
      <c r="A14" s="28" t="str">
        <f>IF(C14=0,MAX($A$10:A11)+1," ")</f>
        <v xml:space="preserve"> </v>
      </c>
      <c r="B14" s="29" t="s">
        <v>7</v>
      </c>
      <c r="C14" s="30" t="s">
        <v>55</v>
      </c>
      <c r="D14" s="66" t="s">
        <v>56</v>
      </c>
      <c r="E14" s="66"/>
      <c r="F14" s="101"/>
      <c r="G14" s="66"/>
      <c r="H14" s="67"/>
    </row>
    <row r="15" spans="1:8" ht="15.75" x14ac:dyDescent="0.2">
      <c r="A15" s="23">
        <f>IF(C15=0,MAX($A$10:A13)+1," ")</f>
        <v>2</v>
      </c>
      <c r="B15" s="24"/>
      <c r="C15" s="25"/>
      <c r="D15" s="26" t="s">
        <v>57</v>
      </c>
      <c r="E15" s="25" t="s">
        <v>21</v>
      </c>
      <c r="F15" s="102">
        <f>33*16</f>
        <v>528</v>
      </c>
      <c r="G15" s="25"/>
      <c r="H15" s="83"/>
    </row>
    <row r="16" spans="1:8" x14ac:dyDescent="0.2">
      <c r="A16" s="28" t="str">
        <f>IF(C16=0,MAX($A$10:A13)+1," ")</f>
        <v xml:space="preserve"> </v>
      </c>
      <c r="B16" s="29" t="s">
        <v>7</v>
      </c>
      <c r="C16" s="30" t="s">
        <v>47</v>
      </c>
      <c r="D16" s="66" t="s">
        <v>48</v>
      </c>
      <c r="E16" s="66"/>
      <c r="F16" s="101"/>
      <c r="G16" s="66"/>
      <c r="H16" s="67"/>
    </row>
    <row r="17" spans="1:8" ht="25.5" x14ac:dyDescent="0.2">
      <c r="A17" s="23">
        <f>IF(C17=0,MAX($A$10:A15)+1," ")</f>
        <v>3</v>
      </c>
      <c r="B17" s="24"/>
      <c r="C17" s="25"/>
      <c r="D17" s="26" t="s">
        <v>54</v>
      </c>
      <c r="E17" s="25" t="s">
        <v>21</v>
      </c>
      <c r="F17" s="102">
        <f>8.84*16.58*4.2</f>
        <v>615.58223999999996</v>
      </c>
      <c r="G17" s="25"/>
      <c r="H17" s="83"/>
    </row>
    <row r="18" spans="1:8" x14ac:dyDescent="0.2">
      <c r="A18" s="15" t="str">
        <f>IF(C18=0,MAX($A$10:A13)+1," ")</f>
        <v xml:space="preserve"> </v>
      </c>
      <c r="B18" s="16"/>
      <c r="C18" s="17" t="s">
        <v>14</v>
      </c>
      <c r="D18" s="64" t="s">
        <v>17</v>
      </c>
      <c r="E18" s="64"/>
      <c r="F18" s="100"/>
      <c r="G18" s="64"/>
      <c r="H18" s="65"/>
    </row>
    <row r="19" spans="1:8" x14ac:dyDescent="0.2">
      <c r="A19" s="28" t="str">
        <f>IF(C19=0,MAX($A$10:A18)+1," ")</f>
        <v xml:space="preserve"> </v>
      </c>
      <c r="B19" s="29" t="s">
        <v>7</v>
      </c>
      <c r="C19" s="30" t="s">
        <v>18</v>
      </c>
      <c r="D19" s="66" t="s">
        <v>140</v>
      </c>
      <c r="E19" s="66"/>
      <c r="F19" s="101"/>
      <c r="G19" s="66"/>
      <c r="H19" s="67"/>
    </row>
    <row r="20" spans="1:8" ht="15.75" x14ac:dyDescent="0.2">
      <c r="A20" s="23">
        <f>IF(C20=0,MAX($A$10:A18)+1," ")</f>
        <v>4</v>
      </c>
      <c r="B20" s="24"/>
      <c r="C20" s="25"/>
      <c r="D20" s="26" t="s">
        <v>20</v>
      </c>
      <c r="E20" s="25" t="s">
        <v>22</v>
      </c>
      <c r="F20" s="102">
        <f>12*(2*16.6+2*8.9)</f>
        <v>612</v>
      </c>
      <c r="G20" s="25"/>
      <c r="H20" s="83"/>
    </row>
    <row r="21" spans="1:8" s="10" customFormat="1" ht="15.75" x14ac:dyDescent="0.2">
      <c r="A21" s="12" t="str">
        <f>IF(C21=0,MAX(#REF!)+1," ")</f>
        <v xml:space="preserve"> </v>
      </c>
      <c r="B21" s="13"/>
      <c r="C21" s="14" t="s">
        <v>58</v>
      </c>
      <c r="D21" s="62" t="s">
        <v>59</v>
      </c>
      <c r="E21" s="62"/>
      <c r="F21" s="103"/>
      <c r="G21" s="62"/>
      <c r="H21" s="63"/>
    </row>
    <row r="22" spans="1:8" x14ac:dyDescent="0.2">
      <c r="A22" s="15" t="str">
        <f>IF(C22=0,MAX($A$10:A21)+1," ")</f>
        <v xml:space="preserve"> </v>
      </c>
      <c r="B22" s="16"/>
      <c r="C22" s="17" t="s">
        <v>60</v>
      </c>
      <c r="D22" s="64" t="s">
        <v>61</v>
      </c>
      <c r="E22" s="64"/>
      <c r="F22" s="100"/>
      <c r="G22" s="64"/>
      <c r="H22" s="65"/>
    </row>
    <row r="23" spans="1:8" x14ac:dyDescent="0.2">
      <c r="A23" s="28" t="str">
        <f>IF(C23=0,MAX($A$10:A22)+1," ")</f>
        <v xml:space="preserve"> </v>
      </c>
      <c r="B23" s="29" t="s">
        <v>66</v>
      </c>
      <c r="C23" s="30" t="s">
        <v>63</v>
      </c>
      <c r="D23" s="66" t="s">
        <v>62</v>
      </c>
      <c r="E23" s="66"/>
      <c r="F23" s="101"/>
      <c r="G23" s="66"/>
      <c r="H23" s="67"/>
    </row>
    <row r="24" spans="1:8" x14ac:dyDescent="0.2">
      <c r="A24" s="23">
        <f>IF(C24=0,MAX($A$10:A22)+1," ")</f>
        <v>5</v>
      </c>
      <c r="B24" s="24"/>
      <c r="C24" s="25"/>
      <c r="D24" s="26" t="s">
        <v>64</v>
      </c>
      <c r="E24" s="25" t="s">
        <v>65</v>
      </c>
      <c r="F24" s="102">
        <f>1704.5+797.6+4276.4+2.052</f>
        <v>6780.5519999999997</v>
      </c>
      <c r="G24" s="25"/>
      <c r="H24" s="83"/>
    </row>
    <row r="25" spans="1:8" s="10" customFormat="1" ht="15.75" x14ac:dyDescent="0.2">
      <c r="A25" s="12" t="str">
        <f>IF(C25=0,MAX(#REF!)+1," ")</f>
        <v xml:space="preserve"> </v>
      </c>
      <c r="B25" s="13"/>
      <c r="C25" s="14" t="s">
        <v>67</v>
      </c>
      <c r="D25" s="62" t="s">
        <v>68</v>
      </c>
      <c r="E25" s="62"/>
      <c r="F25" s="103"/>
      <c r="G25" s="62"/>
      <c r="H25" s="63"/>
    </row>
    <row r="26" spans="1:8" x14ac:dyDescent="0.2">
      <c r="A26" s="15" t="str">
        <f>IF(C26=0,MAX($A$10:A25)+1," ")</f>
        <v xml:space="preserve"> </v>
      </c>
      <c r="B26" s="16"/>
      <c r="C26" s="17" t="s">
        <v>69</v>
      </c>
      <c r="D26" s="64" t="s">
        <v>70</v>
      </c>
      <c r="E26" s="64"/>
      <c r="F26" s="100"/>
      <c r="G26" s="64"/>
      <c r="H26" s="65"/>
    </row>
    <row r="27" spans="1:8" x14ac:dyDescent="0.2">
      <c r="A27" s="28" t="str">
        <f>IF(C27=0,MAX($A$10:A26)+1," ")</f>
        <v xml:space="preserve"> </v>
      </c>
      <c r="B27" s="29" t="s">
        <v>66</v>
      </c>
      <c r="C27" s="30" t="s">
        <v>71</v>
      </c>
      <c r="D27" s="66" t="s">
        <v>74</v>
      </c>
      <c r="E27" s="66"/>
      <c r="F27" s="101"/>
      <c r="G27" s="66"/>
      <c r="H27" s="67"/>
    </row>
    <row r="28" spans="1:8" x14ac:dyDescent="0.2">
      <c r="A28" s="23">
        <f>IF(C28=0,MAX($A$10:A26)+1," ")</f>
        <v>6</v>
      </c>
      <c r="B28" s="24"/>
      <c r="C28" s="25"/>
      <c r="D28" s="26" t="s">
        <v>72</v>
      </c>
      <c r="E28" s="25" t="s">
        <v>73</v>
      </c>
      <c r="F28" s="104">
        <f>0.3*12.3*2.26</f>
        <v>8.3393999999999995</v>
      </c>
      <c r="G28" s="25"/>
      <c r="H28" s="83"/>
    </row>
    <row r="29" spans="1:8" x14ac:dyDescent="0.2">
      <c r="A29" s="28" t="str">
        <f>IF(C29=0,MAX($A$10:A28)+1," ")</f>
        <v xml:space="preserve"> </v>
      </c>
      <c r="B29" s="29" t="s">
        <v>66</v>
      </c>
      <c r="C29" s="30" t="s">
        <v>299</v>
      </c>
      <c r="D29" s="66" t="s">
        <v>95</v>
      </c>
      <c r="E29" s="66"/>
      <c r="F29" s="101"/>
      <c r="G29" s="66"/>
      <c r="H29" s="67"/>
    </row>
    <row r="30" spans="1:8" x14ac:dyDescent="0.2">
      <c r="A30" s="23">
        <f>IF(C30=0,MAX($A$10:A28)+1," ")</f>
        <v>7</v>
      </c>
      <c r="B30" s="24"/>
      <c r="C30" s="25"/>
      <c r="D30" s="26" t="s">
        <v>96</v>
      </c>
      <c r="E30" s="25" t="s">
        <v>73</v>
      </c>
      <c r="F30" s="104">
        <f>1.44*2.85*4</f>
        <v>16.416</v>
      </c>
      <c r="G30" s="25"/>
      <c r="H30" s="83"/>
    </row>
    <row r="31" spans="1:8" x14ac:dyDescent="0.2">
      <c r="A31" s="28" t="str">
        <f>IF(C31=0,MAX($A$10:A28)+1," ")</f>
        <v xml:space="preserve"> </v>
      </c>
      <c r="B31" s="29" t="s">
        <v>66</v>
      </c>
      <c r="C31" s="30" t="s">
        <v>75</v>
      </c>
      <c r="D31" s="66" t="s">
        <v>76</v>
      </c>
      <c r="E31" s="66"/>
      <c r="F31" s="101"/>
      <c r="G31" s="66"/>
      <c r="H31" s="67"/>
    </row>
    <row r="32" spans="1:8" x14ac:dyDescent="0.2">
      <c r="A32" s="23">
        <f>IF(C32=0,MAX($A$10:A30)+1," ")</f>
        <v>8</v>
      </c>
      <c r="B32" s="24"/>
      <c r="C32" s="25"/>
      <c r="D32" s="26" t="s">
        <v>77</v>
      </c>
      <c r="E32" s="25" t="s">
        <v>73</v>
      </c>
      <c r="F32" s="104">
        <v>4.6500000000000004</v>
      </c>
      <c r="G32" s="25"/>
      <c r="H32" s="83"/>
    </row>
    <row r="33" spans="1:8" x14ac:dyDescent="0.2">
      <c r="A33" s="28" t="str">
        <f>IF(C33=0,MAX($A$10:A32)+1," ")</f>
        <v xml:space="preserve"> </v>
      </c>
      <c r="B33" s="29" t="s">
        <v>66</v>
      </c>
      <c r="C33" s="30" t="s">
        <v>82</v>
      </c>
      <c r="D33" s="66" t="s">
        <v>78</v>
      </c>
      <c r="E33" s="66"/>
      <c r="F33" s="101"/>
      <c r="G33" s="66"/>
      <c r="H33" s="67"/>
    </row>
    <row r="34" spans="1:8" x14ac:dyDescent="0.2">
      <c r="A34" s="23">
        <f>IF(C34=0,MAX($A$10:A32)+1," ")</f>
        <v>9</v>
      </c>
      <c r="B34" s="24"/>
      <c r="C34" s="25"/>
      <c r="D34" s="26" t="s">
        <v>79</v>
      </c>
      <c r="E34" s="25" t="s">
        <v>73</v>
      </c>
      <c r="F34" s="104">
        <f>4*8*0.35*2</f>
        <v>22.4</v>
      </c>
      <c r="G34" s="25"/>
      <c r="H34" s="83"/>
    </row>
    <row r="35" spans="1:8" x14ac:dyDescent="0.2">
      <c r="A35" s="15" t="str">
        <f>IF(C35=0,MAX($A$10:A34)+1," ")</f>
        <v xml:space="preserve"> </v>
      </c>
      <c r="B35" s="16"/>
      <c r="C35" s="17" t="s">
        <v>83</v>
      </c>
      <c r="D35" s="64" t="s">
        <v>80</v>
      </c>
      <c r="E35" s="64"/>
      <c r="F35" s="100"/>
      <c r="G35" s="64"/>
      <c r="H35" s="65"/>
    </row>
    <row r="36" spans="1:8" x14ac:dyDescent="0.2">
      <c r="A36" s="28" t="str">
        <f>IF(C36=0,MAX($A$10:A35)+1," ")</f>
        <v xml:space="preserve"> </v>
      </c>
      <c r="B36" s="29" t="s">
        <v>66</v>
      </c>
      <c r="C36" s="30" t="s">
        <v>84</v>
      </c>
      <c r="D36" s="66" t="s">
        <v>81</v>
      </c>
      <c r="E36" s="66"/>
      <c r="F36" s="101"/>
      <c r="G36" s="66"/>
      <c r="H36" s="67"/>
    </row>
    <row r="37" spans="1:8" x14ac:dyDescent="0.2">
      <c r="A37" s="23">
        <f>IF(C37=0,MAX($A$10:A35)+1," ")</f>
        <v>10</v>
      </c>
      <c r="B37" s="24"/>
      <c r="C37" s="25"/>
      <c r="D37" s="26" t="s">
        <v>94</v>
      </c>
      <c r="E37" s="25" t="s">
        <v>73</v>
      </c>
      <c r="F37" s="104">
        <f>2.4*12.4*0.1+4*2*3*0.1+4*8*0.1*4+1.8*12*0.1+0.15*0.55*12</f>
        <v>21.326000000000001</v>
      </c>
      <c r="G37" s="25"/>
      <c r="H37" s="83"/>
    </row>
    <row r="38" spans="1:8" x14ac:dyDescent="0.2">
      <c r="A38" s="15" t="str">
        <f>IF(C38=0,MAX($A$10:A37)+1," ")</f>
        <v xml:space="preserve"> </v>
      </c>
      <c r="B38" s="16"/>
      <c r="C38" s="17" t="s">
        <v>86</v>
      </c>
      <c r="D38" s="64" t="s">
        <v>85</v>
      </c>
      <c r="E38" s="64"/>
      <c r="F38" s="100"/>
      <c r="G38" s="64"/>
      <c r="H38" s="65"/>
    </row>
    <row r="39" spans="1:8" x14ac:dyDescent="0.2">
      <c r="A39" s="28" t="str">
        <f>IF(C39=0,MAX($A$10:A38)+1," ")</f>
        <v xml:space="preserve"> </v>
      </c>
      <c r="B39" s="29" t="s">
        <v>66</v>
      </c>
      <c r="C39" s="30" t="s">
        <v>87</v>
      </c>
      <c r="D39" s="66" t="s">
        <v>88</v>
      </c>
      <c r="E39" s="66"/>
      <c r="F39" s="101"/>
      <c r="G39" s="66"/>
      <c r="H39" s="67"/>
    </row>
    <row r="40" spans="1:8" ht="18" customHeight="1" x14ac:dyDescent="0.2">
      <c r="A40" s="23">
        <f>IF(C40=0,MAX($A$10:A38)+1," ")</f>
        <v>11</v>
      </c>
      <c r="B40" s="24"/>
      <c r="C40" s="25"/>
      <c r="D40" s="26" t="s">
        <v>89</v>
      </c>
      <c r="E40" s="25" t="s">
        <v>8</v>
      </c>
      <c r="F40" s="104">
        <v>12</v>
      </c>
      <c r="G40" s="25"/>
      <c r="H40" s="83"/>
    </row>
    <row r="41" spans="1:8" s="10" customFormat="1" ht="15.75" x14ac:dyDescent="0.2">
      <c r="A41" s="12" t="str">
        <f>IF(C41=0,MAX(#REF!)+1," ")</f>
        <v xml:space="preserve"> </v>
      </c>
      <c r="B41" s="13"/>
      <c r="C41" s="14" t="s">
        <v>90</v>
      </c>
      <c r="D41" s="62" t="s">
        <v>91</v>
      </c>
      <c r="E41" s="62"/>
      <c r="F41" s="103"/>
      <c r="G41" s="62"/>
      <c r="H41" s="63"/>
    </row>
    <row r="42" spans="1:8" x14ac:dyDescent="0.2">
      <c r="A42" s="15" t="str">
        <f>IF(C42=0,MAX($A$10:A41)+1," ")</f>
        <v xml:space="preserve"> </v>
      </c>
      <c r="B42" s="16"/>
      <c r="C42" s="17" t="s">
        <v>92</v>
      </c>
      <c r="D42" s="64" t="s">
        <v>93</v>
      </c>
      <c r="E42" s="64"/>
      <c r="F42" s="100"/>
      <c r="G42" s="64"/>
      <c r="H42" s="65"/>
    </row>
    <row r="43" spans="1:8" x14ac:dyDescent="0.2">
      <c r="A43" s="28" t="str">
        <f>IF(C43=0,MAX($A$10:A42)+1," ")</f>
        <v xml:space="preserve"> </v>
      </c>
      <c r="B43" s="29" t="s">
        <v>66</v>
      </c>
      <c r="C43" s="30" t="s">
        <v>98</v>
      </c>
      <c r="D43" s="66" t="s">
        <v>97</v>
      </c>
      <c r="E43" s="66"/>
      <c r="F43" s="101"/>
      <c r="G43" s="66"/>
      <c r="H43" s="67"/>
    </row>
    <row r="44" spans="1:8" ht="18.75" customHeight="1" x14ac:dyDescent="0.2">
      <c r="A44" s="23">
        <f>IF(C44=0,MAX($A$10:A42)+1," ")</f>
        <v>12</v>
      </c>
      <c r="B44" s="24"/>
      <c r="C44" s="25"/>
      <c r="D44" s="26" t="s">
        <v>99</v>
      </c>
      <c r="E44" s="25" t="s">
        <v>110</v>
      </c>
      <c r="F44" s="104">
        <f>2.5*12+2.2*12*2+4.5*2.85*4+5.5*4</f>
        <v>156.10000000000002</v>
      </c>
      <c r="G44" s="25"/>
      <c r="H44" s="83"/>
    </row>
    <row r="45" spans="1:8" x14ac:dyDescent="0.2">
      <c r="A45" s="15" t="str">
        <f>IF(C45=0,MAX($A$10:A44)+1," ")</f>
        <v xml:space="preserve"> </v>
      </c>
      <c r="B45" s="16"/>
      <c r="C45" s="17" t="s">
        <v>100</v>
      </c>
      <c r="D45" s="64" t="s">
        <v>101</v>
      </c>
      <c r="E45" s="64"/>
      <c r="F45" s="100"/>
      <c r="G45" s="64"/>
      <c r="H45" s="65"/>
    </row>
    <row r="46" spans="1:8" x14ac:dyDescent="0.2">
      <c r="A46" s="28" t="str">
        <f>IF(C46=0,MAX($A$10:A45)+1," ")</f>
        <v xml:space="preserve"> </v>
      </c>
      <c r="B46" s="29" t="s">
        <v>66</v>
      </c>
      <c r="C46" s="30" t="s">
        <v>104</v>
      </c>
      <c r="D46" s="66" t="s">
        <v>102</v>
      </c>
      <c r="E46" s="66"/>
      <c r="F46" s="101"/>
      <c r="G46" s="66"/>
      <c r="H46" s="67"/>
    </row>
    <row r="47" spans="1:8" ht="26.25" customHeight="1" x14ac:dyDescent="0.2">
      <c r="A47" s="23">
        <f>IF(C47=0,MAX($A$10:A45)+1," ")</f>
        <v>13</v>
      </c>
      <c r="B47" s="24"/>
      <c r="C47" s="25"/>
      <c r="D47" s="26" t="s">
        <v>103</v>
      </c>
      <c r="E47" s="25" t="s">
        <v>110</v>
      </c>
      <c r="F47" s="104">
        <f>4*8*2+1.8*12</f>
        <v>85.6</v>
      </c>
      <c r="G47" s="25"/>
      <c r="H47" s="83"/>
    </row>
    <row r="48" spans="1:8" x14ac:dyDescent="0.2">
      <c r="A48" s="15" t="str">
        <f>IF(C48=0,MAX($A$10:A47)+1," ")</f>
        <v xml:space="preserve"> </v>
      </c>
      <c r="B48" s="16"/>
      <c r="C48" s="17" t="s">
        <v>105</v>
      </c>
      <c r="D48" s="64" t="s">
        <v>106</v>
      </c>
      <c r="E48" s="64"/>
      <c r="F48" s="100"/>
      <c r="G48" s="64"/>
      <c r="H48" s="65"/>
    </row>
    <row r="49" spans="1:8" x14ac:dyDescent="0.2">
      <c r="A49" s="28" t="str">
        <f>IF(C49=0,MAX($A$10:A48)+1," ")</f>
        <v xml:space="preserve"> </v>
      </c>
      <c r="B49" s="29" t="s">
        <v>66</v>
      </c>
      <c r="C49" s="30" t="s">
        <v>108</v>
      </c>
      <c r="D49" s="66" t="s">
        <v>107</v>
      </c>
      <c r="E49" s="66"/>
      <c r="F49" s="101"/>
      <c r="G49" s="66"/>
      <c r="H49" s="67"/>
    </row>
    <row r="50" spans="1:8" ht="15" customHeight="1" x14ac:dyDescent="0.2">
      <c r="A50" s="23">
        <f>IF(C50=0,MAX($A$10:A48)+1," ")</f>
        <v>14</v>
      </c>
      <c r="B50" s="24"/>
      <c r="C50" s="25"/>
      <c r="D50" s="26" t="s">
        <v>109</v>
      </c>
      <c r="E50" s="25" t="s">
        <v>110</v>
      </c>
      <c r="F50" s="104">
        <f>0.35*7.5*2</f>
        <v>5.25</v>
      </c>
      <c r="G50" s="25"/>
      <c r="H50" s="83"/>
    </row>
    <row r="51" spans="1:8" x14ac:dyDescent="0.2">
      <c r="A51" s="15" t="str">
        <f>IF(C51=0,MAX($A$10:A50)+1," ")</f>
        <v xml:space="preserve"> </v>
      </c>
      <c r="B51" s="16"/>
      <c r="C51" s="17" t="s">
        <v>111</v>
      </c>
      <c r="D51" s="64" t="s">
        <v>113</v>
      </c>
      <c r="E51" s="64"/>
      <c r="F51" s="100"/>
      <c r="G51" s="64"/>
      <c r="H51" s="65"/>
    </row>
    <row r="52" spans="1:8" x14ac:dyDescent="0.2">
      <c r="A52" s="28" t="str">
        <f>IF(C52=0,MAX($A$10:A51)+1," ")</f>
        <v xml:space="preserve"> </v>
      </c>
      <c r="B52" s="29" t="s">
        <v>66</v>
      </c>
      <c r="C52" s="30" t="s">
        <v>112</v>
      </c>
      <c r="D52" s="66" t="s">
        <v>114</v>
      </c>
      <c r="E52" s="66"/>
      <c r="F52" s="101"/>
      <c r="G52" s="66"/>
      <c r="H52" s="67"/>
    </row>
    <row r="53" spans="1:8" ht="15" customHeight="1" x14ac:dyDescent="0.2">
      <c r="A53" s="23">
        <f>IF(C53=0,MAX($A$10:A51)+1," ")</f>
        <v>15</v>
      </c>
      <c r="B53" s="24"/>
      <c r="C53" s="25"/>
      <c r="D53" s="26" t="s">
        <v>115</v>
      </c>
      <c r="E53" s="25" t="s">
        <v>110</v>
      </c>
      <c r="F53" s="104">
        <f>3.5*12+3.2*4</f>
        <v>54.8</v>
      </c>
      <c r="G53" s="25"/>
      <c r="H53" s="83"/>
    </row>
    <row r="54" spans="1:8" s="10" customFormat="1" ht="15.75" x14ac:dyDescent="0.2">
      <c r="A54" s="12" t="str">
        <f>IF(C54=0,MAX(#REF!)+1," ")</f>
        <v xml:space="preserve"> </v>
      </c>
      <c r="B54" s="13"/>
      <c r="C54" s="14" t="s">
        <v>116</v>
      </c>
      <c r="D54" s="62" t="s">
        <v>117</v>
      </c>
      <c r="E54" s="62"/>
      <c r="F54" s="103"/>
      <c r="G54" s="62"/>
      <c r="H54" s="63"/>
    </row>
    <row r="55" spans="1:8" x14ac:dyDescent="0.2">
      <c r="A55" s="28" t="str">
        <f>IF(C55=0,MAX($A$10:A54)+1," ")</f>
        <v xml:space="preserve"> </v>
      </c>
      <c r="B55" s="29" t="s">
        <v>66</v>
      </c>
      <c r="C55" s="30" t="s">
        <v>293</v>
      </c>
      <c r="D55" s="66" t="s">
        <v>294</v>
      </c>
      <c r="E55" s="66"/>
      <c r="F55" s="101"/>
      <c r="G55" s="66"/>
      <c r="H55" s="67"/>
    </row>
    <row r="56" spans="1:8" ht="18.75" customHeight="1" x14ac:dyDescent="0.2">
      <c r="A56" s="23">
        <f>IF(C56=0,MAX($A$10:A54)+1," ")</f>
        <v>16</v>
      </c>
      <c r="B56" s="24"/>
      <c r="C56" s="25"/>
      <c r="D56" s="26" t="s">
        <v>118</v>
      </c>
      <c r="E56" s="25" t="s">
        <v>8</v>
      </c>
      <c r="F56" s="104">
        <f>14.5*2</f>
        <v>29</v>
      </c>
      <c r="G56" s="25"/>
      <c r="H56" s="83"/>
    </row>
    <row r="57" spans="1:8" s="10" customFormat="1" ht="15.75" x14ac:dyDescent="0.2">
      <c r="A57" s="12" t="str">
        <f>IF(C57=0,MAX(#REF!)+1," ")</f>
        <v xml:space="preserve"> </v>
      </c>
      <c r="B57" s="13"/>
      <c r="C57" s="14" t="s">
        <v>126</v>
      </c>
      <c r="D57" s="62" t="s">
        <v>127</v>
      </c>
      <c r="E57" s="62"/>
      <c r="F57" s="103"/>
      <c r="G57" s="62"/>
      <c r="H57" s="63"/>
    </row>
    <row r="58" spans="1:8" x14ac:dyDescent="0.2">
      <c r="A58" s="28" t="str">
        <f>IF(C58=0,MAX($A$10:A57)+1," ")</f>
        <v xml:space="preserve"> </v>
      </c>
      <c r="B58" s="29" t="s">
        <v>66</v>
      </c>
      <c r="C58" s="30" t="s">
        <v>129</v>
      </c>
      <c r="D58" s="66" t="s">
        <v>128</v>
      </c>
      <c r="E58" s="66"/>
      <c r="F58" s="101"/>
      <c r="G58" s="66"/>
      <c r="H58" s="67"/>
    </row>
    <row r="59" spans="1:8" ht="15.75" customHeight="1" x14ac:dyDescent="0.2">
      <c r="A59" s="23">
        <f>IF(C59=0,MAX($A$10:A57)+1," ")</f>
        <v>17</v>
      </c>
      <c r="B59" s="24"/>
      <c r="C59" s="25"/>
      <c r="D59" s="26" t="s">
        <v>130</v>
      </c>
      <c r="E59" s="25" t="s">
        <v>65</v>
      </c>
      <c r="F59" s="104">
        <f>324.1*2</f>
        <v>648.20000000000005</v>
      </c>
      <c r="G59" s="25"/>
      <c r="H59" s="83"/>
    </row>
    <row r="60" spans="1:8" s="10" customFormat="1" ht="15.75" x14ac:dyDescent="0.2">
      <c r="A60" s="12" t="str">
        <f>IF(C60=0,MAX(#REF!)+1," ")</f>
        <v xml:space="preserve"> </v>
      </c>
      <c r="B60" s="13"/>
      <c r="C60" s="14" t="s">
        <v>23</v>
      </c>
      <c r="D60" s="71" t="s">
        <v>24</v>
      </c>
      <c r="E60" s="72"/>
      <c r="F60" s="106"/>
      <c r="G60" s="72"/>
      <c r="H60" s="73"/>
    </row>
    <row r="61" spans="1:8" x14ac:dyDescent="0.2">
      <c r="A61" s="15" t="str">
        <f>IF(C61=0,MAX($A$10:A60)+1," ")</f>
        <v xml:space="preserve"> </v>
      </c>
      <c r="B61" s="16"/>
      <c r="C61" s="17" t="s">
        <v>25</v>
      </c>
      <c r="D61" s="68" t="s">
        <v>24</v>
      </c>
      <c r="E61" s="69"/>
      <c r="F61" s="107"/>
      <c r="G61" s="69"/>
      <c r="H61" s="70"/>
    </row>
    <row r="62" spans="1:8" ht="12.75" customHeight="1" x14ac:dyDescent="0.2">
      <c r="A62" s="28" t="str">
        <f>IF(C62=0,MAX($A$10:A61)+1," ")</f>
        <v xml:space="preserve"> </v>
      </c>
      <c r="B62" s="29" t="s">
        <v>27</v>
      </c>
      <c r="C62" s="30" t="s">
        <v>122</v>
      </c>
      <c r="D62" s="66" t="s">
        <v>119</v>
      </c>
      <c r="E62" s="66"/>
      <c r="F62" s="101"/>
      <c r="G62" s="66"/>
      <c r="H62" s="67"/>
    </row>
    <row r="63" spans="1:8" s="18" customFormat="1" ht="25.5" x14ac:dyDescent="0.2">
      <c r="A63" s="23">
        <f>IF(C63=0,MAX($A$10:A61)+1," ")</f>
        <v>18</v>
      </c>
      <c r="B63" s="31"/>
      <c r="C63" s="32"/>
      <c r="D63" s="34" t="s">
        <v>120</v>
      </c>
      <c r="E63" s="33" t="s">
        <v>22</v>
      </c>
      <c r="F63" s="102">
        <f>15+27.5</f>
        <v>42.5</v>
      </c>
      <c r="G63" s="33"/>
      <c r="H63" s="83"/>
    </row>
    <row r="64" spans="1:8" x14ac:dyDescent="0.2">
      <c r="A64" s="28" t="str">
        <f>IF(C64=0,MAX($A$10:A63)+1," ")</f>
        <v xml:space="preserve"> </v>
      </c>
      <c r="B64" s="29" t="s">
        <v>27</v>
      </c>
      <c r="C64" s="30" t="s">
        <v>32</v>
      </c>
      <c r="D64" s="66" t="s">
        <v>121</v>
      </c>
      <c r="E64" s="66"/>
      <c r="F64" s="101"/>
      <c r="G64" s="66"/>
      <c r="H64" s="67"/>
    </row>
    <row r="65" spans="1:8" s="18" customFormat="1" ht="25.5" x14ac:dyDescent="0.2">
      <c r="A65" s="23">
        <f>IF(C65=0,MAX($A$10:A63)+1," ")</f>
        <v>19</v>
      </c>
      <c r="B65" s="31"/>
      <c r="C65" s="32"/>
      <c r="D65" s="34" t="s">
        <v>124</v>
      </c>
      <c r="E65" s="33" t="s">
        <v>22</v>
      </c>
      <c r="F65" s="102">
        <v>12</v>
      </c>
      <c r="G65" s="33"/>
      <c r="H65" s="83"/>
    </row>
    <row r="66" spans="1:8" s="18" customFormat="1" ht="25.5" x14ac:dyDescent="0.2">
      <c r="A66" s="23">
        <f>IF(C66=0,MAX($A$10:A65)+1," ")</f>
        <v>20</v>
      </c>
      <c r="B66" s="31"/>
      <c r="C66" s="32"/>
      <c r="D66" s="34" t="s">
        <v>125</v>
      </c>
      <c r="E66" s="33" t="s">
        <v>21</v>
      </c>
      <c r="F66" s="102">
        <f>18*0.5*0.5</f>
        <v>4.5</v>
      </c>
      <c r="G66" s="33"/>
      <c r="H66" s="83"/>
    </row>
    <row r="67" spans="1:8" x14ac:dyDescent="0.2">
      <c r="A67" s="15" t="str">
        <f>IF(C67=0,MAX($A$10:A65)+1," ")</f>
        <v xml:space="preserve"> </v>
      </c>
      <c r="B67" s="16"/>
      <c r="C67" s="17" t="s">
        <v>37</v>
      </c>
      <c r="D67" s="64" t="s">
        <v>38</v>
      </c>
      <c r="E67" s="64"/>
      <c r="F67" s="100"/>
      <c r="G67" s="64"/>
      <c r="H67" s="65"/>
    </row>
    <row r="68" spans="1:8" x14ac:dyDescent="0.2">
      <c r="A68" s="28" t="str">
        <f>IF(C68=0,MAX($A$10:A67)+1," ")</f>
        <v xml:space="preserve"> </v>
      </c>
      <c r="B68" s="29" t="s">
        <v>27</v>
      </c>
      <c r="C68" s="30" t="s">
        <v>41</v>
      </c>
      <c r="D68" s="66" t="s">
        <v>39</v>
      </c>
      <c r="E68" s="66"/>
      <c r="F68" s="101"/>
      <c r="G68" s="66"/>
      <c r="H68" s="67"/>
    </row>
    <row r="69" spans="1:8" s="18" customFormat="1" ht="14.25" customHeight="1" x14ac:dyDescent="0.2">
      <c r="A69" s="23">
        <f>IF(C69=0,MAX($A$10:A68)+1," ")</f>
        <v>21</v>
      </c>
      <c r="B69" s="31"/>
      <c r="C69" s="32"/>
      <c r="D69" s="26" t="s">
        <v>123</v>
      </c>
      <c r="E69" s="33" t="s">
        <v>40</v>
      </c>
      <c r="F69" s="105">
        <v>1</v>
      </c>
      <c r="G69" s="33"/>
      <c r="H69" s="83"/>
    </row>
    <row r="70" spans="1:8" x14ac:dyDescent="0.2">
      <c r="A70" s="28" t="str">
        <f>IF(C70=0,MAX($A$10:A69)+1," ")</f>
        <v xml:space="preserve"> </v>
      </c>
      <c r="B70" s="29" t="s">
        <v>27</v>
      </c>
      <c r="C70" s="30" t="s">
        <v>42</v>
      </c>
      <c r="D70" s="66" t="s">
        <v>43</v>
      </c>
      <c r="E70" s="66"/>
      <c r="F70" s="101"/>
      <c r="G70" s="66"/>
      <c r="H70" s="67"/>
    </row>
    <row r="71" spans="1:8" s="18" customFormat="1" ht="13.5" thickBot="1" x14ac:dyDescent="0.25">
      <c r="A71" s="44">
        <f>IF(C71=0,MAX($A$10:A70)+1," ")</f>
        <v>22</v>
      </c>
      <c r="B71" s="45"/>
      <c r="C71" s="46"/>
      <c r="D71" s="47" t="s">
        <v>43</v>
      </c>
      <c r="E71" s="48" t="s">
        <v>40</v>
      </c>
      <c r="F71" s="108">
        <v>1</v>
      </c>
      <c r="G71" s="48"/>
      <c r="H71" s="93"/>
    </row>
    <row r="72" spans="1:8" ht="21" customHeight="1" thickBot="1" x14ac:dyDescent="0.25">
      <c r="F72" s="112" t="s">
        <v>320</v>
      </c>
      <c r="G72" s="135"/>
      <c r="H72" s="136"/>
    </row>
    <row r="76" spans="1:8" s="7" customFormat="1" x14ac:dyDescent="0.2">
      <c r="A76" s="1"/>
      <c r="B76" s="2"/>
      <c r="C76" s="2"/>
      <c r="D76" s="40"/>
      <c r="F76" s="3"/>
      <c r="G76" s="2"/>
    </row>
  </sheetData>
  <mergeCells count="14">
    <mergeCell ref="A1:H1"/>
    <mergeCell ref="G6:H6"/>
    <mergeCell ref="G7:G8"/>
    <mergeCell ref="H7:H8"/>
    <mergeCell ref="G72:H72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H4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8.140625" style="2" bestFit="1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309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46.5*24</f>
        <v>1116</v>
      </c>
      <c r="G13" s="25"/>
      <c r="H13" s="83"/>
    </row>
    <row r="14" spans="1:8" x14ac:dyDescent="0.2">
      <c r="A14" s="28" t="str">
        <f>IF(C14=0,MAX($A$10:A13)+1," ")</f>
        <v xml:space="preserve"> </v>
      </c>
      <c r="B14" s="29" t="s">
        <v>7</v>
      </c>
      <c r="C14" s="30" t="s">
        <v>47</v>
      </c>
      <c r="D14" s="66" t="s">
        <v>48</v>
      </c>
      <c r="E14" s="66"/>
      <c r="F14" s="101"/>
      <c r="G14" s="66"/>
      <c r="H14" s="67"/>
    </row>
    <row r="15" spans="1:8" ht="25.5" x14ac:dyDescent="0.2">
      <c r="A15" s="23">
        <f>IF(C15=0,MAX($A$10:A13)+1," ")</f>
        <v>2</v>
      </c>
      <c r="B15" s="24"/>
      <c r="C15" s="25"/>
      <c r="D15" s="26" t="s">
        <v>54</v>
      </c>
      <c r="E15" s="25" t="s">
        <v>21</v>
      </c>
      <c r="F15" s="102">
        <f>0.9*7.25*23.8</f>
        <v>155.29500000000002</v>
      </c>
      <c r="G15" s="25"/>
      <c r="H15" s="83"/>
    </row>
    <row r="16" spans="1:8" x14ac:dyDescent="0.2">
      <c r="A16" s="15" t="str">
        <f>IF(C16=0,MAX($A$10:A13)+1," ")</f>
        <v xml:space="preserve"> </v>
      </c>
      <c r="B16" s="16"/>
      <c r="C16" s="17" t="s">
        <v>14</v>
      </c>
      <c r="D16" s="64" t="s">
        <v>17</v>
      </c>
      <c r="E16" s="64"/>
      <c r="F16" s="100"/>
      <c r="G16" s="64"/>
      <c r="H16" s="65"/>
    </row>
    <row r="17" spans="1:8" x14ac:dyDescent="0.2">
      <c r="A17" s="28" t="str">
        <f>IF(C17=0,MAX($A$10:A16)+1," ")</f>
        <v xml:space="preserve"> </v>
      </c>
      <c r="B17" s="29" t="s">
        <v>7</v>
      </c>
      <c r="C17" s="30" t="s">
        <v>18</v>
      </c>
      <c r="D17" s="66" t="s">
        <v>139</v>
      </c>
      <c r="E17" s="66"/>
      <c r="F17" s="101"/>
      <c r="G17" s="66"/>
      <c r="H17" s="67"/>
    </row>
    <row r="18" spans="1:8" ht="15.75" x14ac:dyDescent="0.2">
      <c r="A18" s="23">
        <f>IF(C18=0,MAX($A$10:A16)+1," ")</f>
        <v>3</v>
      </c>
      <c r="B18" s="24"/>
      <c r="C18" s="25"/>
      <c r="D18" s="26" t="s">
        <v>142</v>
      </c>
      <c r="E18" s="25" t="s">
        <v>22</v>
      </c>
      <c r="F18" s="102">
        <f>8*(2*23.8+2*7.25)</f>
        <v>496.8</v>
      </c>
      <c r="G18" s="25"/>
      <c r="H18" s="83"/>
    </row>
    <row r="19" spans="1:8" s="10" customFormat="1" ht="15.75" x14ac:dyDescent="0.2">
      <c r="A19" s="12" t="str">
        <f>IF(C19=0,MAX(#REF!)+1," ")</f>
        <v xml:space="preserve"> </v>
      </c>
      <c r="B19" s="13"/>
      <c r="C19" s="14" t="s">
        <v>23</v>
      </c>
      <c r="D19" s="62" t="s">
        <v>24</v>
      </c>
      <c r="E19" s="62"/>
      <c r="F19" s="103"/>
      <c r="G19" s="62"/>
      <c r="H19" s="63"/>
    </row>
    <row r="20" spans="1:8" x14ac:dyDescent="0.2">
      <c r="A20" s="15" t="str">
        <f>IF(C20=0,MAX($A$10:A19)+1," ")</f>
        <v xml:space="preserve"> </v>
      </c>
      <c r="B20" s="16"/>
      <c r="C20" s="17" t="s">
        <v>25</v>
      </c>
      <c r="D20" s="64" t="s">
        <v>24</v>
      </c>
      <c r="E20" s="64"/>
      <c r="F20" s="100"/>
      <c r="G20" s="64"/>
      <c r="H20" s="65"/>
    </row>
    <row r="21" spans="1:8" x14ac:dyDescent="0.2">
      <c r="A21" s="28" t="str">
        <f>IF(C21=0,MAX($A$10:A20)+1," ")</f>
        <v xml:space="preserve"> </v>
      </c>
      <c r="B21" s="29" t="s">
        <v>27</v>
      </c>
      <c r="C21" s="30" t="s">
        <v>26</v>
      </c>
      <c r="D21" s="66" t="s">
        <v>28</v>
      </c>
      <c r="E21" s="66"/>
      <c r="F21" s="101"/>
      <c r="G21" s="66"/>
      <c r="H21" s="67"/>
    </row>
    <row r="22" spans="1:8" s="18" customFormat="1" x14ac:dyDescent="0.2">
      <c r="A22" s="23">
        <f>IF(C22=0,MAX($A$10:A21)+1," ")</f>
        <v>4</v>
      </c>
      <c r="B22" s="31"/>
      <c r="C22" s="32"/>
      <c r="D22" s="26" t="s">
        <v>29</v>
      </c>
      <c r="E22" s="33" t="s">
        <v>8</v>
      </c>
      <c r="F22" s="104">
        <f>4.05*2</f>
        <v>8.1</v>
      </c>
      <c r="G22" s="33"/>
      <c r="H22" s="83"/>
    </row>
    <row r="23" spans="1:8" ht="24.75" customHeight="1" x14ac:dyDescent="0.2">
      <c r="A23" s="28" t="str">
        <f>IF(C23=0,MAX($A$10:A22)+1," ")</f>
        <v xml:space="preserve"> </v>
      </c>
      <c r="B23" s="29" t="s">
        <v>27</v>
      </c>
      <c r="C23" s="30" t="s">
        <v>122</v>
      </c>
      <c r="D23" s="66" t="s">
        <v>119</v>
      </c>
      <c r="E23" s="66"/>
      <c r="F23" s="101"/>
      <c r="G23" s="66"/>
      <c r="H23" s="67"/>
    </row>
    <row r="24" spans="1:8" s="18" customFormat="1" ht="25.5" x14ac:dyDescent="0.2">
      <c r="A24" s="23">
        <f>IF(C24=0,MAX($A$10:A22)+1," ")</f>
        <v>5</v>
      </c>
      <c r="B24" s="31"/>
      <c r="C24" s="32"/>
      <c r="D24" s="34" t="s">
        <v>30</v>
      </c>
      <c r="E24" s="33" t="s">
        <v>22</v>
      </c>
      <c r="F24" s="102">
        <f>14*2</f>
        <v>28</v>
      </c>
      <c r="G24" s="33"/>
      <c r="H24" s="83"/>
    </row>
    <row r="25" spans="1:8" x14ac:dyDescent="0.2">
      <c r="A25" s="28" t="str">
        <f>IF(C25=0,MAX($A$10:A24)+1," ")</f>
        <v xml:space="preserve"> </v>
      </c>
      <c r="B25" s="29" t="s">
        <v>27</v>
      </c>
      <c r="C25" s="30" t="s">
        <v>32</v>
      </c>
      <c r="D25" s="66" t="s">
        <v>121</v>
      </c>
      <c r="E25" s="66"/>
      <c r="F25" s="101"/>
      <c r="G25" s="66"/>
      <c r="H25" s="67"/>
    </row>
    <row r="26" spans="1:8" s="18" customFormat="1" ht="15.75" x14ac:dyDescent="0.2">
      <c r="A26" s="23">
        <f>IF(C26=0,MAX($A$10:A24)+1," ")</f>
        <v>6</v>
      </c>
      <c r="B26" s="31"/>
      <c r="C26" s="32"/>
      <c r="D26" s="34" t="s">
        <v>31</v>
      </c>
      <c r="E26" s="33" t="s">
        <v>22</v>
      </c>
      <c r="F26" s="102">
        <f>3*26</f>
        <v>78</v>
      </c>
      <c r="G26" s="33"/>
      <c r="H26" s="83"/>
    </row>
    <row r="27" spans="1:8" x14ac:dyDescent="0.2">
      <c r="A27" s="15" t="str">
        <f>IF(C27=0,MAX($A$10:A26)+1," ")</f>
        <v xml:space="preserve"> </v>
      </c>
      <c r="B27" s="16"/>
      <c r="C27" s="17" t="s">
        <v>37</v>
      </c>
      <c r="D27" s="64" t="s">
        <v>38</v>
      </c>
      <c r="E27" s="64"/>
      <c r="F27" s="100"/>
      <c r="G27" s="64"/>
      <c r="H27" s="65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41</v>
      </c>
      <c r="D28" s="66" t="s">
        <v>39</v>
      </c>
      <c r="E28" s="66"/>
      <c r="F28" s="101"/>
      <c r="G28" s="66"/>
      <c r="H28" s="67"/>
    </row>
    <row r="29" spans="1:8" s="18" customFormat="1" ht="17.25" customHeight="1" x14ac:dyDescent="0.2">
      <c r="A29" s="23">
        <f>IF(C29=0,MAX($A$10:A28)+1," ")</f>
        <v>7</v>
      </c>
      <c r="B29" s="31"/>
      <c r="C29" s="32"/>
      <c r="D29" s="26" t="s">
        <v>123</v>
      </c>
      <c r="E29" s="33" t="s">
        <v>40</v>
      </c>
      <c r="F29" s="105">
        <v>1</v>
      </c>
      <c r="G29" s="33"/>
      <c r="H29" s="83"/>
    </row>
    <row r="30" spans="1:8" x14ac:dyDescent="0.2">
      <c r="A30" s="28" t="str">
        <f>IF(C30=0,MAX($A$10:A29)+1," ")</f>
        <v xml:space="preserve"> </v>
      </c>
      <c r="B30" s="29" t="s">
        <v>27</v>
      </c>
      <c r="C30" s="30" t="s">
        <v>42</v>
      </c>
      <c r="D30" s="66" t="s">
        <v>43</v>
      </c>
      <c r="E30" s="66"/>
      <c r="F30" s="101"/>
      <c r="G30" s="66"/>
      <c r="H30" s="67"/>
    </row>
    <row r="31" spans="1:8" s="18" customFormat="1" x14ac:dyDescent="0.2">
      <c r="A31" s="23">
        <f>IF(C31=0,MAX($A$10:A30)+1," ")</f>
        <v>8</v>
      </c>
      <c r="B31" s="31"/>
      <c r="C31" s="32"/>
      <c r="D31" s="26" t="s">
        <v>43</v>
      </c>
      <c r="E31" s="33" t="s">
        <v>40</v>
      </c>
      <c r="F31" s="105">
        <v>1</v>
      </c>
      <c r="G31" s="33"/>
      <c r="H31" s="83"/>
    </row>
    <row r="32" spans="1:8" x14ac:dyDescent="0.2">
      <c r="A32" s="15" t="str">
        <f>IF(C32=0,MAX($A$10:A26)+1," ")</f>
        <v xml:space="preserve"> </v>
      </c>
      <c r="B32" s="16"/>
      <c r="C32" s="17" t="s">
        <v>33</v>
      </c>
      <c r="D32" s="64" t="s">
        <v>34</v>
      </c>
      <c r="E32" s="64"/>
      <c r="F32" s="100"/>
      <c r="G32" s="64"/>
      <c r="H32" s="65"/>
    </row>
    <row r="33" spans="1:8" x14ac:dyDescent="0.2">
      <c r="A33" s="28" t="str">
        <f>IF(C33=0,MAX($A$10:A32)+1," ")</f>
        <v xml:space="preserve"> </v>
      </c>
      <c r="B33" s="29" t="s">
        <v>9</v>
      </c>
      <c r="C33" s="30" t="s">
        <v>35</v>
      </c>
      <c r="D33" s="66" t="s">
        <v>36</v>
      </c>
      <c r="E33" s="66"/>
      <c r="F33" s="101"/>
      <c r="G33" s="66"/>
      <c r="H33" s="67"/>
    </row>
    <row r="34" spans="1:8" s="18" customFormat="1" ht="25.5" x14ac:dyDescent="0.2">
      <c r="A34" s="23">
        <f>IF(C34=0,MAX($A$10:A33)+1," ")</f>
        <v>9</v>
      </c>
      <c r="B34" s="31"/>
      <c r="C34" s="32"/>
      <c r="D34" s="34" t="s">
        <v>45</v>
      </c>
      <c r="E34" s="33" t="s">
        <v>8</v>
      </c>
      <c r="F34" s="104">
        <v>21.25</v>
      </c>
      <c r="G34" s="33"/>
      <c r="H34" s="83"/>
    </row>
    <row r="35" spans="1:8" s="18" customFormat="1" ht="16.5" thickBot="1" x14ac:dyDescent="0.25">
      <c r="A35" s="44">
        <f>IF(C35=0,MAX($A$10:A34)+1," ")</f>
        <v>10</v>
      </c>
      <c r="B35" s="45"/>
      <c r="C35" s="46"/>
      <c r="D35" s="92" t="s">
        <v>46</v>
      </c>
      <c r="E35" s="48" t="s">
        <v>21</v>
      </c>
      <c r="F35" s="114">
        <f>40*21.2-7.8*21.2</f>
        <v>682.64</v>
      </c>
      <c r="G35" s="48"/>
      <c r="H35" s="93"/>
    </row>
    <row r="36" spans="1:8" ht="21" customHeight="1" thickBot="1" x14ac:dyDescent="0.25">
      <c r="F36" s="112" t="s">
        <v>320</v>
      </c>
      <c r="G36" s="135"/>
      <c r="H36" s="136"/>
    </row>
    <row r="40" spans="1:8" s="7" customFormat="1" x14ac:dyDescent="0.2">
      <c r="A40" s="1"/>
      <c r="B40" s="2"/>
      <c r="C40" s="2"/>
      <c r="D40" s="40"/>
      <c r="F40" s="3"/>
      <c r="G40" s="2"/>
    </row>
  </sheetData>
  <mergeCells count="14">
    <mergeCell ref="A1:H1"/>
    <mergeCell ref="G6:H6"/>
    <mergeCell ref="G7:G8"/>
    <mergeCell ref="H7:H8"/>
    <mergeCell ref="G36:H36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4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425781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310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>
      <c r="A5" s="137"/>
      <c r="B5" s="137"/>
      <c r="C5" s="137"/>
      <c r="D5" s="137"/>
      <c r="E5" s="137"/>
      <c r="F5" s="137"/>
      <c r="G5" s="137"/>
      <c r="H5" s="137"/>
    </row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8"/>
      <c r="B8" s="123"/>
      <c r="C8" s="132"/>
      <c r="D8" s="132"/>
      <c r="E8" s="123"/>
      <c r="F8" s="125"/>
      <c r="G8" s="123"/>
      <c r="H8" s="125"/>
    </row>
    <row r="9" spans="1:8" x14ac:dyDescent="0.2">
      <c r="A9" s="94">
        <v>1</v>
      </c>
      <c r="B9" s="95">
        <v>2</v>
      </c>
      <c r="C9" s="95">
        <v>3</v>
      </c>
      <c r="D9" s="95">
        <v>4</v>
      </c>
      <c r="E9" s="95">
        <v>5</v>
      </c>
      <c r="F9" s="96">
        <v>6</v>
      </c>
      <c r="G9" s="95">
        <v>7</v>
      </c>
      <c r="H9" s="96">
        <v>8</v>
      </c>
    </row>
    <row r="10" spans="1:8" s="10" customFormat="1" ht="15.75" x14ac:dyDescent="0.2">
      <c r="A10" s="12" t="str">
        <f>IF(C10=0,MAX(#REF!)+1," ")</f>
        <v xml:space="preserve"> </v>
      </c>
      <c r="B10" s="13"/>
      <c r="C10" s="14" t="s">
        <v>10</v>
      </c>
      <c r="D10" s="62" t="s">
        <v>11</v>
      </c>
      <c r="E10" s="62"/>
      <c r="F10" s="63"/>
      <c r="G10" s="62"/>
      <c r="H10" s="63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45*18.5</f>
        <v>832.5</v>
      </c>
      <c r="G13" s="25"/>
      <c r="H13" s="83"/>
    </row>
    <row r="14" spans="1:8" x14ac:dyDescent="0.2">
      <c r="A14" s="15" t="str">
        <f>IF(C14=0,MAX($A$10:A13)+1," ")</f>
        <v xml:space="preserve"> </v>
      </c>
      <c r="B14" s="16"/>
      <c r="C14" s="17" t="s">
        <v>14</v>
      </c>
      <c r="D14" s="64" t="s">
        <v>17</v>
      </c>
      <c r="E14" s="64"/>
      <c r="F14" s="100"/>
      <c r="G14" s="64"/>
      <c r="H14" s="65"/>
    </row>
    <row r="15" spans="1:8" x14ac:dyDescent="0.2">
      <c r="A15" s="28" t="str">
        <f>IF(C15=0,MAX($A$10:A14)+1," ")</f>
        <v xml:space="preserve"> </v>
      </c>
      <c r="B15" s="29" t="s">
        <v>7</v>
      </c>
      <c r="C15" s="30" t="s">
        <v>18</v>
      </c>
      <c r="D15" s="66" t="s">
        <v>139</v>
      </c>
      <c r="E15" s="66"/>
      <c r="F15" s="101"/>
      <c r="G15" s="66"/>
      <c r="H15" s="67"/>
    </row>
    <row r="16" spans="1:8" ht="15.75" x14ac:dyDescent="0.2">
      <c r="A16" s="23">
        <f>IF(C16=0,MAX($A$10:A14)+1," ")</f>
        <v>2</v>
      </c>
      <c r="B16" s="24"/>
      <c r="C16" s="25"/>
      <c r="D16" s="26" t="s">
        <v>142</v>
      </c>
      <c r="E16" s="25" t="s">
        <v>22</v>
      </c>
      <c r="F16" s="102">
        <f>8*(2*24.5+2*7)</f>
        <v>504</v>
      </c>
      <c r="G16" s="25"/>
      <c r="H16" s="83"/>
    </row>
    <row r="17" spans="1:8" s="10" customFormat="1" ht="15.75" x14ac:dyDescent="0.2">
      <c r="A17" s="12" t="str">
        <f>IF(C17=0,MAX(#REF!)+1," ")</f>
        <v xml:space="preserve"> </v>
      </c>
      <c r="B17" s="13"/>
      <c r="C17" s="14" t="s">
        <v>23</v>
      </c>
      <c r="D17" s="62" t="s">
        <v>24</v>
      </c>
      <c r="E17" s="62"/>
      <c r="F17" s="103"/>
      <c r="G17" s="62"/>
      <c r="H17" s="63"/>
    </row>
    <row r="18" spans="1:8" x14ac:dyDescent="0.2">
      <c r="A18" s="15" t="str">
        <f>IF(C18=0,MAX($A$10:A17)+1," ")</f>
        <v xml:space="preserve"> </v>
      </c>
      <c r="B18" s="16"/>
      <c r="C18" s="17" t="s">
        <v>25</v>
      </c>
      <c r="D18" s="64" t="s">
        <v>24</v>
      </c>
      <c r="E18" s="64"/>
      <c r="F18" s="100"/>
      <c r="G18" s="64"/>
      <c r="H18" s="65"/>
    </row>
    <row r="19" spans="1:8" x14ac:dyDescent="0.2">
      <c r="A19" s="28" t="str">
        <f>IF(C19=0,MAX($A$10:A18)+1," ")</f>
        <v xml:space="preserve"> </v>
      </c>
      <c r="B19" s="29" t="s">
        <v>27</v>
      </c>
      <c r="C19" s="30" t="s">
        <v>26</v>
      </c>
      <c r="D19" s="66" t="s">
        <v>28</v>
      </c>
      <c r="E19" s="66"/>
      <c r="F19" s="101"/>
      <c r="G19" s="66"/>
      <c r="H19" s="67"/>
    </row>
    <row r="20" spans="1:8" s="18" customFormat="1" x14ac:dyDescent="0.2">
      <c r="A20" s="23">
        <f>IF(C20=0,MAX($A$10:A19)+1," ")</f>
        <v>3</v>
      </c>
      <c r="B20" s="31"/>
      <c r="C20" s="32"/>
      <c r="D20" s="26" t="s">
        <v>29</v>
      </c>
      <c r="E20" s="33" t="s">
        <v>8</v>
      </c>
      <c r="F20" s="104">
        <f>4.05+4.32</f>
        <v>8.370000000000001</v>
      </c>
      <c r="G20" s="33"/>
      <c r="H20" s="83"/>
    </row>
    <row r="21" spans="1:8" ht="24.75" customHeight="1" x14ac:dyDescent="0.2">
      <c r="A21" s="28" t="str">
        <f>IF(C21=0,MAX($A$10:A20)+1," ")</f>
        <v xml:space="preserve"> </v>
      </c>
      <c r="B21" s="29" t="s">
        <v>27</v>
      </c>
      <c r="C21" s="30" t="s">
        <v>122</v>
      </c>
      <c r="D21" s="66" t="s">
        <v>119</v>
      </c>
      <c r="E21" s="66"/>
      <c r="F21" s="101"/>
      <c r="G21" s="66"/>
      <c r="H21" s="67"/>
    </row>
    <row r="22" spans="1:8" s="18" customFormat="1" ht="25.5" x14ac:dyDescent="0.2">
      <c r="A22" s="23">
        <f>IF(C22=0,MAX($A$10:A20)+1," ")</f>
        <v>4</v>
      </c>
      <c r="B22" s="31"/>
      <c r="C22" s="32"/>
      <c r="D22" s="34" t="s">
        <v>30</v>
      </c>
      <c r="E22" s="33" t="s">
        <v>22</v>
      </c>
      <c r="F22" s="102">
        <f>14.5*2</f>
        <v>29</v>
      </c>
      <c r="G22" s="33"/>
      <c r="H22" s="83"/>
    </row>
    <row r="23" spans="1:8" x14ac:dyDescent="0.2">
      <c r="A23" s="28" t="str">
        <f>IF(C23=0,MAX($A$10:A22)+1," ")</f>
        <v xml:space="preserve"> </v>
      </c>
      <c r="B23" s="29" t="s">
        <v>27</v>
      </c>
      <c r="C23" s="30" t="s">
        <v>32</v>
      </c>
      <c r="D23" s="66" t="s">
        <v>121</v>
      </c>
      <c r="E23" s="66"/>
      <c r="F23" s="101"/>
      <c r="G23" s="66"/>
      <c r="H23" s="67"/>
    </row>
    <row r="24" spans="1:8" s="18" customFormat="1" ht="15.75" x14ac:dyDescent="0.2">
      <c r="A24" s="23">
        <f>IF(C24=0,MAX($A$10:A22)+1," ")</f>
        <v>5</v>
      </c>
      <c r="B24" s="31"/>
      <c r="C24" s="32"/>
      <c r="D24" s="34" t="s">
        <v>31</v>
      </c>
      <c r="E24" s="33" t="s">
        <v>22</v>
      </c>
      <c r="F24" s="102">
        <f>3.8*30</f>
        <v>114</v>
      </c>
      <c r="G24" s="33"/>
      <c r="H24" s="83"/>
    </row>
    <row r="25" spans="1:8" x14ac:dyDescent="0.2">
      <c r="A25" s="15" t="str">
        <f>IF(C25=0,MAX($A$10:A24)+1," ")</f>
        <v xml:space="preserve"> </v>
      </c>
      <c r="B25" s="16"/>
      <c r="C25" s="17" t="s">
        <v>37</v>
      </c>
      <c r="D25" s="64" t="s">
        <v>38</v>
      </c>
      <c r="E25" s="64"/>
      <c r="F25" s="100"/>
      <c r="G25" s="64"/>
      <c r="H25" s="65"/>
    </row>
    <row r="26" spans="1:8" x14ac:dyDescent="0.2">
      <c r="A26" s="28" t="str">
        <f>IF(C26=0,MAX($A$10:A25)+1," ")</f>
        <v xml:space="preserve"> </v>
      </c>
      <c r="B26" s="29" t="s">
        <v>27</v>
      </c>
      <c r="C26" s="30" t="s">
        <v>41</v>
      </c>
      <c r="D26" s="66" t="s">
        <v>39</v>
      </c>
      <c r="E26" s="66"/>
      <c r="F26" s="101"/>
      <c r="G26" s="66"/>
      <c r="H26" s="67"/>
    </row>
    <row r="27" spans="1:8" s="18" customFormat="1" ht="17.25" customHeight="1" x14ac:dyDescent="0.2">
      <c r="A27" s="23">
        <f>IF(C27=0,MAX($A$10:A26)+1," ")</f>
        <v>6</v>
      </c>
      <c r="B27" s="31"/>
      <c r="C27" s="32"/>
      <c r="D27" s="26" t="s">
        <v>123</v>
      </c>
      <c r="E27" s="33" t="s">
        <v>40</v>
      </c>
      <c r="F27" s="105">
        <v>1</v>
      </c>
      <c r="G27" s="33"/>
      <c r="H27" s="83"/>
    </row>
    <row r="28" spans="1:8" x14ac:dyDescent="0.2">
      <c r="A28" s="28" t="str">
        <f>IF(C28=0,MAX($A$10:A27)+1," ")</f>
        <v xml:space="preserve"> </v>
      </c>
      <c r="B28" s="29" t="s">
        <v>27</v>
      </c>
      <c r="C28" s="30" t="s">
        <v>42</v>
      </c>
      <c r="D28" s="66" t="s">
        <v>43</v>
      </c>
      <c r="E28" s="66"/>
      <c r="F28" s="101"/>
      <c r="G28" s="66"/>
      <c r="H28" s="67"/>
    </row>
    <row r="29" spans="1:8" s="18" customFormat="1" x14ac:dyDescent="0.2">
      <c r="A29" s="23">
        <f>IF(C29=0,MAX($A$10:A28)+1," ")</f>
        <v>7</v>
      </c>
      <c r="B29" s="31"/>
      <c r="C29" s="32"/>
      <c r="D29" s="26" t="s">
        <v>43</v>
      </c>
      <c r="E29" s="33" t="s">
        <v>40</v>
      </c>
      <c r="F29" s="105">
        <v>1</v>
      </c>
      <c r="G29" s="33"/>
      <c r="H29" s="83"/>
    </row>
    <row r="30" spans="1:8" x14ac:dyDescent="0.2">
      <c r="A30" s="15" t="str">
        <f>IF(C30=0,MAX($A$10:A24)+1," ")</f>
        <v xml:space="preserve"> </v>
      </c>
      <c r="B30" s="16"/>
      <c r="C30" s="17" t="s">
        <v>33</v>
      </c>
      <c r="D30" s="64" t="s">
        <v>34</v>
      </c>
      <c r="E30" s="64"/>
      <c r="F30" s="100"/>
      <c r="G30" s="64"/>
      <c r="H30" s="65"/>
    </row>
    <row r="31" spans="1:8" x14ac:dyDescent="0.2">
      <c r="A31" s="28" t="str">
        <f>IF(C31=0,MAX($A$10:A30)+1," ")</f>
        <v xml:space="preserve"> </v>
      </c>
      <c r="B31" s="29" t="s">
        <v>9</v>
      </c>
      <c r="C31" s="30" t="s">
        <v>35</v>
      </c>
      <c r="D31" s="66" t="s">
        <v>36</v>
      </c>
      <c r="E31" s="66"/>
      <c r="F31" s="101"/>
      <c r="G31" s="66"/>
      <c r="H31" s="67"/>
    </row>
    <row r="32" spans="1:8" s="18" customFormat="1" ht="108.75" customHeight="1" x14ac:dyDescent="0.2">
      <c r="A32" s="23">
        <f>IF(C32=0,MAX($A$10:A31)+1," ")</f>
        <v>8</v>
      </c>
      <c r="B32" s="31"/>
      <c r="C32" s="32"/>
      <c r="D32" s="26" t="s">
        <v>44</v>
      </c>
      <c r="E32" s="33" t="s">
        <v>22</v>
      </c>
      <c r="F32" s="102">
        <f>6.5*24</f>
        <v>156</v>
      </c>
      <c r="G32" s="33"/>
      <c r="H32" s="83"/>
    </row>
    <row r="33" spans="1:8" s="18" customFormat="1" ht="25.5" x14ac:dyDescent="0.2">
      <c r="A33" s="23">
        <f>IF(C33=0,MAX($A$10:A32)+1," ")</f>
        <v>9</v>
      </c>
      <c r="B33" s="31"/>
      <c r="C33" s="32"/>
      <c r="D33" s="34" t="s">
        <v>45</v>
      </c>
      <c r="E33" s="33" t="s">
        <v>8</v>
      </c>
      <c r="F33" s="104">
        <v>21.85</v>
      </c>
      <c r="G33" s="33"/>
      <c r="H33" s="83"/>
    </row>
    <row r="34" spans="1:8" s="18" customFormat="1" ht="16.5" thickBot="1" x14ac:dyDescent="0.25">
      <c r="A34" s="44">
        <f>IF(C34=0,MAX($A$10:A33)+1," ")</f>
        <v>10</v>
      </c>
      <c r="B34" s="45"/>
      <c r="C34" s="46"/>
      <c r="D34" s="92" t="s">
        <v>46</v>
      </c>
      <c r="E34" s="48" t="s">
        <v>21</v>
      </c>
      <c r="F34" s="114">
        <f>26*18.5</f>
        <v>481</v>
      </c>
      <c r="G34" s="48"/>
      <c r="H34" s="93"/>
    </row>
    <row r="35" spans="1:8" ht="21" customHeight="1" thickBot="1" x14ac:dyDescent="0.25">
      <c r="F35" s="112" t="s">
        <v>320</v>
      </c>
      <c r="G35" s="135"/>
      <c r="H35" s="136"/>
    </row>
    <row r="40" spans="1:8" s="7" customFormat="1" x14ac:dyDescent="0.2">
      <c r="A40" s="1"/>
      <c r="B40" s="2"/>
      <c r="C40" s="2"/>
      <c r="D40" s="40"/>
      <c r="F40" s="3"/>
      <c r="G40" s="2"/>
    </row>
  </sheetData>
  <mergeCells count="14">
    <mergeCell ref="A1:H1"/>
    <mergeCell ref="G6:H6"/>
    <mergeCell ref="G7:G8"/>
    <mergeCell ref="H7:H8"/>
    <mergeCell ref="G35:H35"/>
    <mergeCell ref="A6:A8"/>
    <mergeCell ref="B6:B8"/>
    <mergeCell ref="C6:C8"/>
    <mergeCell ref="D6:D8"/>
    <mergeCell ref="E6:F6"/>
    <mergeCell ref="E7:E8"/>
    <mergeCell ref="F7:F8"/>
    <mergeCell ref="A3:H3"/>
    <mergeCell ref="A4:H5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H70"/>
  <sheetViews>
    <sheetView view="pageBreakPreview" zoomScaleNormal="100" zoomScaleSheetLayoutView="100" workbookViewId="0">
      <selection sqref="A1:H1"/>
    </sheetView>
  </sheetViews>
  <sheetFormatPr defaultRowHeight="12.75" x14ac:dyDescent="0.2"/>
  <cols>
    <col min="1" max="1" width="4.140625" style="1" bestFit="1" customWidth="1"/>
    <col min="2" max="2" width="9.28515625" style="2" bestFit="1" customWidth="1"/>
    <col min="3" max="3" width="12.7109375" style="2" customWidth="1"/>
    <col min="4" max="4" width="65.28515625" style="2" customWidth="1"/>
    <col min="5" max="5" width="7.28515625" style="7" bestFit="1" customWidth="1"/>
    <col min="6" max="6" width="8.7109375" style="3" customWidth="1"/>
    <col min="7" max="7" width="12.7109375" style="2" customWidth="1"/>
    <col min="8" max="8" width="20.7109375" style="2" customWidth="1"/>
    <col min="9" max="16384" width="9.140625" style="2"/>
  </cols>
  <sheetData>
    <row r="1" spans="1:8" ht="20.100000000000001" customHeight="1" x14ac:dyDescent="0.2">
      <c r="A1" s="117" t="s">
        <v>323</v>
      </c>
      <c r="B1" s="117"/>
      <c r="C1" s="117"/>
      <c r="D1" s="117"/>
      <c r="E1" s="117"/>
      <c r="F1" s="117"/>
      <c r="G1" s="117"/>
      <c r="H1" s="117"/>
    </row>
    <row r="2" spans="1:8" ht="20.100000000000001" customHeight="1" x14ac:dyDescent="0.2">
      <c r="A2" s="4"/>
      <c r="B2" s="5"/>
      <c r="C2" s="5"/>
      <c r="D2" s="6"/>
      <c r="E2" s="5"/>
    </row>
    <row r="3" spans="1:8" ht="18.75" x14ac:dyDescent="0.2">
      <c r="A3" s="134" t="s">
        <v>319</v>
      </c>
      <c r="B3" s="134"/>
      <c r="C3" s="134"/>
      <c r="D3" s="134"/>
      <c r="E3" s="134"/>
      <c r="F3" s="134"/>
      <c r="G3" s="134"/>
      <c r="H3" s="134"/>
    </row>
    <row r="4" spans="1:8" ht="21.75" customHeight="1" x14ac:dyDescent="0.2">
      <c r="A4" s="134" t="s">
        <v>311</v>
      </c>
      <c r="B4" s="134"/>
      <c r="C4" s="134"/>
      <c r="D4" s="134"/>
      <c r="E4" s="134"/>
      <c r="F4" s="134"/>
      <c r="G4" s="134"/>
      <c r="H4" s="134"/>
    </row>
    <row r="5" spans="1:8" ht="15" customHeight="1" thickBot="1" x14ac:dyDescent="0.25"/>
    <row r="6" spans="1:8" s="8" customFormat="1" ht="16.5" customHeight="1" thickBot="1" x14ac:dyDescent="0.25">
      <c r="A6" s="126" t="s">
        <v>0</v>
      </c>
      <c r="B6" s="129" t="s">
        <v>1</v>
      </c>
      <c r="C6" s="130" t="s">
        <v>2</v>
      </c>
      <c r="D6" s="130" t="s">
        <v>3</v>
      </c>
      <c r="E6" s="129" t="s">
        <v>4</v>
      </c>
      <c r="F6" s="133"/>
      <c r="G6" s="120" t="s">
        <v>301</v>
      </c>
      <c r="H6" s="121"/>
    </row>
    <row r="7" spans="1:8" s="8" customFormat="1" ht="15.75" customHeight="1" thickBot="1" x14ac:dyDescent="0.25">
      <c r="A7" s="127"/>
      <c r="B7" s="122"/>
      <c r="C7" s="131"/>
      <c r="D7" s="131"/>
      <c r="E7" s="122" t="s">
        <v>5</v>
      </c>
      <c r="F7" s="124" t="s">
        <v>6</v>
      </c>
      <c r="G7" s="122" t="s">
        <v>303</v>
      </c>
      <c r="H7" s="124" t="s">
        <v>304</v>
      </c>
    </row>
    <row r="8" spans="1:8" s="8" customFormat="1" ht="15.75" customHeight="1" thickBot="1" x14ac:dyDescent="0.25">
      <c r="A8" s="127"/>
      <c r="B8" s="122"/>
      <c r="C8" s="131"/>
      <c r="D8" s="131"/>
      <c r="E8" s="122"/>
      <c r="F8" s="124"/>
      <c r="G8" s="123"/>
      <c r="H8" s="125"/>
    </row>
    <row r="9" spans="1:8" ht="13.5" thickBot="1" x14ac:dyDescent="0.25">
      <c r="A9" s="36">
        <v>1</v>
      </c>
      <c r="B9" s="9">
        <v>2</v>
      </c>
      <c r="C9" s="9">
        <v>3</v>
      </c>
      <c r="D9" s="9">
        <v>4</v>
      </c>
      <c r="E9" s="9">
        <v>5</v>
      </c>
      <c r="F9" s="37">
        <v>6</v>
      </c>
      <c r="G9" s="9">
        <v>7</v>
      </c>
      <c r="H9" s="37">
        <v>8</v>
      </c>
    </row>
    <row r="10" spans="1:8" s="10" customFormat="1" ht="15.75" x14ac:dyDescent="0.2">
      <c r="A10" s="87" t="str">
        <f>IF(C10=0,MAX(#REF!)+1," ")</f>
        <v xml:space="preserve"> </v>
      </c>
      <c r="B10" s="88"/>
      <c r="C10" s="89" t="s">
        <v>10</v>
      </c>
      <c r="D10" s="90" t="s">
        <v>11</v>
      </c>
      <c r="E10" s="90"/>
      <c r="F10" s="91"/>
      <c r="G10" s="90"/>
      <c r="H10" s="91"/>
    </row>
    <row r="11" spans="1:8" x14ac:dyDescent="0.2">
      <c r="A11" s="15" t="str">
        <f>IF(C11=0,MAX($A$10:A10)+1," ")</f>
        <v xml:space="preserve"> </v>
      </c>
      <c r="B11" s="16"/>
      <c r="C11" s="17" t="s">
        <v>15</v>
      </c>
      <c r="D11" s="64" t="s">
        <v>13</v>
      </c>
      <c r="E11" s="64"/>
      <c r="F11" s="65"/>
      <c r="G11" s="64"/>
      <c r="H11" s="65"/>
    </row>
    <row r="12" spans="1:8" x14ac:dyDescent="0.2">
      <c r="A12" s="28" t="str">
        <f>IF(C12=0,MAX($A$10:A11)+1," ")</f>
        <v xml:space="preserve"> </v>
      </c>
      <c r="B12" s="29" t="s">
        <v>7</v>
      </c>
      <c r="C12" s="30" t="s">
        <v>12</v>
      </c>
      <c r="D12" s="66" t="s">
        <v>19</v>
      </c>
      <c r="E12" s="66"/>
      <c r="F12" s="67"/>
      <c r="G12" s="66"/>
      <c r="H12" s="67"/>
    </row>
    <row r="13" spans="1:8" ht="15.75" x14ac:dyDescent="0.2">
      <c r="A13" s="23">
        <f>IF(C13=0,MAX($A$10:A11)+1," ")</f>
        <v>1</v>
      </c>
      <c r="B13" s="24"/>
      <c r="C13" s="25"/>
      <c r="D13" s="26" t="s">
        <v>16</v>
      </c>
      <c r="E13" s="25" t="s">
        <v>21</v>
      </c>
      <c r="F13" s="102">
        <f>50*18</f>
        <v>900</v>
      </c>
      <c r="G13" s="25"/>
      <c r="H13" s="83"/>
    </row>
    <row r="14" spans="1:8" x14ac:dyDescent="0.2">
      <c r="A14" s="28" t="str">
        <f>IF(C14=0,MAX($A$10:A11)+1," ")</f>
        <v xml:space="preserve"> </v>
      </c>
      <c r="B14" s="29" t="s">
        <v>7</v>
      </c>
      <c r="C14" s="30" t="s">
        <v>55</v>
      </c>
      <c r="D14" s="66" t="s">
        <v>56</v>
      </c>
      <c r="E14" s="66"/>
      <c r="F14" s="101"/>
      <c r="G14" s="66"/>
      <c r="H14" s="67"/>
    </row>
    <row r="15" spans="1:8" ht="15.75" x14ac:dyDescent="0.2">
      <c r="A15" s="23">
        <f>IF(C15=0,MAX($A$10:A13)+1," ")</f>
        <v>2</v>
      </c>
      <c r="B15" s="24"/>
      <c r="C15" s="25"/>
      <c r="D15" s="26" t="s">
        <v>57</v>
      </c>
      <c r="E15" s="25" t="s">
        <v>21</v>
      </c>
      <c r="F15" s="102">
        <f>40.5*18-9.4*18</f>
        <v>559.79999999999995</v>
      </c>
      <c r="G15" s="25"/>
      <c r="H15" s="83"/>
    </row>
    <row r="16" spans="1:8" s="10" customFormat="1" ht="15.75" x14ac:dyDescent="0.2">
      <c r="A16" s="12" t="str">
        <f>IF(C16=0,MAX(#REF!)+1," ")</f>
        <v xml:space="preserve"> </v>
      </c>
      <c r="B16" s="13"/>
      <c r="C16" s="14" t="s">
        <v>58</v>
      </c>
      <c r="D16" s="62" t="s">
        <v>59</v>
      </c>
      <c r="E16" s="62"/>
      <c r="F16" s="103"/>
      <c r="G16" s="62"/>
      <c r="H16" s="63"/>
    </row>
    <row r="17" spans="1:8" x14ac:dyDescent="0.2">
      <c r="A17" s="15" t="str">
        <f>IF(C17=0,MAX($A$10:A16)+1," ")</f>
        <v xml:space="preserve"> </v>
      </c>
      <c r="B17" s="16"/>
      <c r="C17" s="17" t="s">
        <v>60</v>
      </c>
      <c r="D17" s="64" t="s">
        <v>61</v>
      </c>
      <c r="E17" s="64"/>
      <c r="F17" s="100"/>
      <c r="G17" s="64"/>
      <c r="H17" s="65"/>
    </row>
    <row r="18" spans="1:8" x14ac:dyDescent="0.2">
      <c r="A18" s="28" t="str">
        <f>IF(C18=0,MAX($A$10:A17)+1," ")</f>
        <v xml:space="preserve"> </v>
      </c>
      <c r="B18" s="29" t="s">
        <v>66</v>
      </c>
      <c r="C18" s="30" t="s">
        <v>63</v>
      </c>
      <c r="D18" s="66" t="s">
        <v>62</v>
      </c>
      <c r="E18" s="66"/>
      <c r="F18" s="101"/>
      <c r="G18" s="66"/>
      <c r="H18" s="67"/>
    </row>
    <row r="19" spans="1:8" x14ac:dyDescent="0.2">
      <c r="A19" s="23">
        <f>IF(C19=0,MAX($A$10:A17)+1," ")</f>
        <v>3</v>
      </c>
      <c r="B19" s="24"/>
      <c r="C19" s="25"/>
      <c r="D19" s="26" t="s">
        <v>64</v>
      </c>
      <c r="E19" s="25" t="s">
        <v>65</v>
      </c>
      <c r="F19" s="102">
        <f>2062.8+905.6+4276.4+1525.4</f>
        <v>8770.1999999999989</v>
      </c>
      <c r="G19" s="25"/>
      <c r="H19" s="83"/>
    </row>
    <row r="20" spans="1:8" s="10" customFormat="1" ht="15.75" x14ac:dyDescent="0.2">
      <c r="A20" s="12" t="str">
        <f>IF(C20=0,MAX(#REF!)+1," ")</f>
        <v xml:space="preserve"> </v>
      </c>
      <c r="B20" s="13"/>
      <c r="C20" s="14" t="s">
        <v>67</v>
      </c>
      <c r="D20" s="62" t="s">
        <v>68</v>
      </c>
      <c r="E20" s="62"/>
      <c r="F20" s="103"/>
      <c r="G20" s="62"/>
      <c r="H20" s="63"/>
    </row>
    <row r="21" spans="1:8" x14ac:dyDescent="0.2">
      <c r="A21" s="15" t="str">
        <f>IF(C21=0,MAX($A$10:A20)+1," ")</f>
        <v xml:space="preserve"> </v>
      </c>
      <c r="B21" s="16"/>
      <c r="C21" s="17" t="s">
        <v>69</v>
      </c>
      <c r="D21" s="64" t="s">
        <v>70</v>
      </c>
      <c r="E21" s="64"/>
      <c r="F21" s="100"/>
      <c r="G21" s="64"/>
      <c r="H21" s="65"/>
    </row>
    <row r="22" spans="1:8" x14ac:dyDescent="0.2">
      <c r="A22" s="28" t="str">
        <f>IF(C22=0,MAX($A$10:A21)+1," ")</f>
        <v xml:space="preserve"> </v>
      </c>
      <c r="B22" s="29" t="s">
        <v>66</v>
      </c>
      <c r="C22" s="30" t="s">
        <v>71</v>
      </c>
      <c r="D22" s="66" t="s">
        <v>74</v>
      </c>
      <c r="E22" s="66"/>
      <c r="F22" s="101"/>
      <c r="G22" s="66"/>
      <c r="H22" s="67"/>
    </row>
    <row r="23" spans="1:8" x14ac:dyDescent="0.2">
      <c r="A23" s="23">
        <f>IF(C23=0,MAX($A$10:A21)+1," ")</f>
        <v>4</v>
      </c>
      <c r="B23" s="24"/>
      <c r="C23" s="25"/>
      <c r="D23" s="26" t="s">
        <v>72</v>
      </c>
      <c r="E23" s="25" t="s">
        <v>73</v>
      </c>
      <c r="F23" s="104">
        <f>0.3*15.2*2.26</f>
        <v>10.305599999999998</v>
      </c>
      <c r="G23" s="25"/>
      <c r="H23" s="83"/>
    </row>
    <row r="24" spans="1:8" x14ac:dyDescent="0.2">
      <c r="A24" s="28" t="str">
        <f>IF(C24=0,MAX($A$10:A23)+1," ")</f>
        <v xml:space="preserve"> </v>
      </c>
      <c r="B24" s="29" t="s">
        <v>66</v>
      </c>
      <c r="C24" s="30" t="s">
        <v>299</v>
      </c>
      <c r="D24" s="66" t="s">
        <v>95</v>
      </c>
      <c r="E24" s="66"/>
      <c r="F24" s="101"/>
      <c r="G24" s="66"/>
      <c r="H24" s="67"/>
    </row>
    <row r="25" spans="1:8" x14ac:dyDescent="0.2">
      <c r="A25" s="23">
        <f>IF(C25=0,MAX($A$10:A23)+1," ")</f>
        <v>5</v>
      </c>
      <c r="B25" s="24"/>
      <c r="C25" s="25"/>
      <c r="D25" s="26" t="s">
        <v>96</v>
      </c>
      <c r="E25" s="25" t="s">
        <v>73</v>
      </c>
      <c r="F25" s="104">
        <f>1.35*(1+2.22+3.3+2)</f>
        <v>11.502000000000001</v>
      </c>
      <c r="G25" s="25"/>
      <c r="H25" s="83"/>
    </row>
    <row r="26" spans="1:8" x14ac:dyDescent="0.2">
      <c r="A26" s="28" t="str">
        <f>IF(C26=0,MAX($A$10:A23)+1," ")</f>
        <v xml:space="preserve"> </v>
      </c>
      <c r="B26" s="29" t="s">
        <v>66</v>
      </c>
      <c r="C26" s="30" t="s">
        <v>75</v>
      </c>
      <c r="D26" s="66" t="s">
        <v>76</v>
      </c>
      <c r="E26" s="66"/>
      <c r="F26" s="101"/>
      <c r="G26" s="66"/>
      <c r="H26" s="67"/>
    </row>
    <row r="27" spans="1:8" x14ac:dyDescent="0.2">
      <c r="A27" s="23">
        <f>IF(C27=0,MAX($A$10:A25)+1," ")</f>
        <v>6</v>
      </c>
      <c r="B27" s="24"/>
      <c r="C27" s="25"/>
      <c r="D27" s="26" t="s">
        <v>77</v>
      </c>
      <c r="E27" s="25" t="s">
        <v>73</v>
      </c>
      <c r="F27" s="104">
        <f>3.1*1.76</f>
        <v>5.4560000000000004</v>
      </c>
      <c r="G27" s="25"/>
      <c r="H27" s="83"/>
    </row>
    <row r="28" spans="1:8" x14ac:dyDescent="0.2">
      <c r="A28" s="28" t="str">
        <f>IF(C28=0,MAX($A$10:A27)+1," ")</f>
        <v xml:space="preserve"> </v>
      </c>
      <c r="B28" s="29" t="s">
        <v>66</v>
      </c>
      <c r="C28" s="30" t="s">
        <v>82</v>
      </c>
      <c r="D28" s="66" t="s">
        <v>78</v>
      </c>
      <c r="E28" s="66"/>
      <c r="F28" s="101"/>
      <c r="G28" s="66"/>
      <c r="H28" s="67"/>
    </row>
    <row r="29" spans="1:8" x14ac:dyDescent="0.2">
      <c r="A29" s="23">
        <f>IF(C29=0,MAX($A$10:A27)+1," ")</f>
        <v>7</v>
      </c>
      <c r="B29" s="24"/>
      <c r="C29" s="25"/>
      <c r="D29" s="26" t="s">
        <v>79</v>
      </c>
      <c r="E29" s="25" t="s">
        <v>73</v>
      </c>
      <c r="F29" s="104">
        <f>4*8*0.35*2</f>
        <v>22.4</v>
      </c>
      <c r="G29" s="25"/>
      <c r="H29" s="83"/>
    </row>
    <row r="30" spans="1:8" x14ac:dyDescent="0.2">
      <c r="A30" s="15" t="str">
        <f>IF(C30=0,MAX($A$10:A29)+1," ")</f>
        <v xml:space="preserve"> </v>
      </c>
      <c r="B30" s="16"/>
      <c r="C30" s="17" t="s">
        <v>83</v>
      </c>
      <c r="D30" s="64" t="s">
        <v>80</v>
      </c>
      <c r="E30" s="64"/>
      <c r="F30" s="100"/>
      <c r="G30" s="64"/>
      <c r="H30" s="65"/>
    </row>
    <row r="31" spans="1:8" x14ac:dyDescent="0.2">
      <c r="A31" s="28" t="str">
        <f>IF(C31=0,MAX($A$10:A30)+1," ")</f>
        <v xml:space="preserve"> </v>
      </c>
      <c r="B31" s="29" t="s">
        <v>66</v>
      </c>
      <c r="C31" s="30" t="s">
        <v>84</v>
      </c>
      <c r="D31" s="66" t="s">
        <v>81</v>
      </c>
      <c r="E31" s="66"/>
      <c r="F31" s="101"/>
      <c r="G31" s="66"/>
      <c r="H31" s="67"/>
    </row>
    <row r="32" spans="1:8" x14ac:dyDescent="0.2">
      <c r="A32" s="23">
        <f>IF(C32=0,MAX($A$10:A30)+1," ")</f>
        <v>8</v>
      </c>
      <c r="B32" s="24"/>
      <c r="C32" s="25"/>
      <c r="D32" s="26" t="s">
        <v>94</v>
      </c>
      <c r="E32" s="25" t="s">
        <v>73</v>
      </c>
      <c r="F32" s="104">
        <f>2.4*15.4*0.1+2*(1.2+2.42+3.5+2.2)*0.1+4*8*0.1*4+1.8*14.5*0.1+0.15*0.55*12</f>
        <v>21.959999999999997</v>
      </c>
      <c r="G32" s="25"/>
      <c r="H32" s="83"/>
    </row>
    <row r="33" spans="1:8" x14ac:dyDescent="0.2">
      <c r="A33" s="15" t="str">
        <f>IF(C33=0,MAX($A$10:A32)+1," ")</f>
        <v xml:space="preserve"> </v>
      </c>
      <c r="B33" s="16"/>
      <c r="C33" s="17" t="s">
        <v>86</v>
      </c>
      <c r="D33" s="64" t="s">
        <v>85</v>
      </c>
      <c r="E33" s="64"/>
      <c r="F33" s="100"/>
      <c r="G33" s="64"/>
      <c r="H33" s="65"/>
    </row>
    <row r="34" spans="1:8" x14ac:dyDescent="0.2">
      <c r="A34" s="28" t="str">
        <f>IF(C34=0,MAX($A$10:A33)+1," ")</f>
        <v xml:space="preserve"> </v>
      </c>
      <c r="B34" s="29" t="s">
        <v>66</v>
      </c>
      <c r="C34" s="30" t="s">
        <v>87</v>
      </c>
      <c r="D34" s="66" t="s">
        <v>88</v>
      </c>
      <c r="E34" s="66"/>
      <c r="F34" s="101"/>
      <c r="G34" s="66"/>
      <c r="H34" s="67"/>
    </row>
    <row r="35" spans="1:8" ht="18" customHeight="1" x14ac:dyDescent="0.2">
      <c r="A35" s="23">
        <f>IF(C35=0,MAX($A$10:A33)+1," ")</f>
        <v>9</v>
      </c>
      <c r="B35" s="24"/>
      <c r="C35" s="25"/>
      <c r="D35" s="26" t="s">
        <v>89</v>
      </c>
      <c r="E35" s="25" t="s">
        <v>8</v>
      </c>
      <c r="F35" s="104">
        <v>15</v>
      </c>
      <c r="G35" s="25"/>
      <c r="H35" s="83"/>
    </row>
    <row r="36" spans="1:8" s="10" customFormat="1" ht="15.75" x14ac:dyDescent="0.2">
      <c r="A36" s="12" t="str">
        <f>IF(C36=0,MAX(#REF!)+1," ")</f>
        <v xml:space="preserve"> </v>
      </c>
      <c r="B36" s="13"/>
      <c r="C36" s="14" t="s">
        <v>90</v>
      </c>
      <c r="D36" s="62" t="s">
        <v>91</v>
      </c>
      <c r="E36" s="62"/>
      <c r="F36" s="103"/>
      <c r="G36" s="62"/>
      <c r="H36" s="63"/>
    </row>
    <row r="37" spans="1:8" x14ac:dyDescent="0.2">
      <c r="A37" s="15" t="str">
        <f>IF(C37=0,MAX($A$10:A36)+1," ")</f>
        <v xml:space="preserve"> </v>
      </c>
      <c r="B37" s="16"/>
      <c r="C37" s="17" t="s">
        <v>92</v>
      </c>
      <c r="D37" s="64" t="s">
        <v>93</v>
      </c>
      <c r="E37" s="64"/>
      <c r="F37" s="100"/>
      <c r="G37" s="64"/>
      <c r="H37" s="65"/>
    </row>
    <row r="38" spans="1:8" x14ac:dyDescent="0.2">
      <c r="A38" s="28" t="str">
        <f>IF(C38=0,MAX($A$10:A37)+1," ")</f>
        <v xml:space="preserve"> </v>
      </c>
      <c r="B38" s="29" t="s">
        <v>66</v>
      </c>
      <c r="C38" s="30" t="s">
        <v>98</v>
      </c>
      <c r="D38" s="66" t="s">
        <v>97</v>
      </c>
      <c r="E38" s="66"/>
      <c r="F38" s="101"/>
      <c r="G38" s="66"/>
      <c r="H38" s="67"/>
    </row>
    <row r="39" spans="1:8" ht="18.75" customHeight="1" x14ac:dyDescent="0.2">
      <c r="A39" s="23">
        <f>IF(C39=0,MAX($A$10:A37)+1," ")</f>
        <v>10</v>
      </c>
      <c r="B39" s="24"/>
      <c r="C39" s="25"/>
      <c r="D39" s="26" t="s">
        <v>99</v>
      </c>
      <c r="E39" s="25" t="s">
        <v>110</v>
      </c>
      <c r="F39" s="104">
        <f>2.5*15+2.2*15*2+3.85*(1+2.22+3.3+2)+2.2+3.9+5+3.6</f>
        <v>151.00199999999998</v>
      </c>
      <c r="G39" s="25"/>
      <c r="H39" s="83"/>
    </row>
    <row r="40" spans="1:8" x14ac:dyDescent="0.2">
      <c r="A40" s="15" t="str">
        <f>IF(C40=0,MAX($A$10:A39)+1," ")</f>
        <v xml:space="preserve"> </v>
      </c>
      <c r="B40" s="16"/>
      <c r="C40" s="17" t="s">
        <v>100</v>
      </c>
      <c r="D40" s="64" t="s">
        <v>101</v>
      </c>
      <c r="E40" s="64"/>
      <c r="F40" s="100"/>
      <c r="G40" s="64"/>
      <c r="H40" s="65"/>
    </row>
    <row r="41" spans="1:8" x14ac:dyDescent="0.2">
      <c r="A41" s="28" t="str">
        <f>IF(C41=0,MAX($A$10:A40)+1," ")</f>
        <v xml:space="preserve"> </v>
      </c>
      <c r="B41" s="29" t="s">
        <v>66</v>
      </c>
      <c r="C41" s="30" t="s">
        <v>104</v>
      </c>
      <c r="D41" s="66" t="s">
        <v>102</v>
      </c>
      <c r="E41" s="66"/>
      <c r="F41" s="101"/>
      <c r="G41" s="66"/>
      <c r="H41" s="67"/>
    </row>
    <row r="42" spans="1:8" ht="26.25" customHeight="1" x14ac:dyDescent="0.2">
      <c r="A42" s="23">
        <f>IF(C42=0,MAX($A$10:A40)+1," ")</f>
        <v>11</v>
      </c>
      <c r="B42" s="24"/>
      <c r="C42" s="25"/>
      <c r="D42" s="26" t="s">
        <v>103</v>
      </c>
      <c r="E42" s="25" t="s">
        <v>110</v>
      </c>
      <c r="F42" s="104">
        <f>4*8*2+1.8*15</f>
        <v>91</v>
      </c>
      <c r="G42" s="25"/>
      <c r="H42" s="83"/>
    </row>
    <row r="43" spans="1:8" x14ac:dyDescent="0.2">
      <c r="A43" s="15" t="str">
        <f>IF(C43=0,MAX($A$10:A42)+1," ")</f>
        <v xml:space="preserve"> </v>
      </c>
      <c r="B43" s="16"/>
      <c r="C43" s="17" t="s">
        <v>105</v>
      </c>
      <c r="D43" s="64" t="s">
        <v>106</v>
      </c>
      <c r="E43" s="64"/>
      <c r="F43" s="100"/>
      <c r="G43" s="64"/>
      <c r="H43" s="65"/>
    </row>
    <row r="44" spans="1:8" x14ac:dyDescent="0.2">
      <c r="A44" s="28" t="str">
        <f>IF(C44=0,MAX($A$10:A43)+1," ")</f>
        <v xml:space="preserve"> </v>
      </c>
      <c r="B44" s="29" t="s">
        <v>66</v>
      </c>
      <c r="C44" s="30" t="s">
        <v>108</v>
      </c>
      <c r="D44" s="66" t="s">
        <v>107</v>
      </c>
      <c r="E44" s="66"/>
      <c r="F44" s="101"/>
      <c r="G44" s="66"/>
      <c r="H44" s="67"/>
    </row>
    <row r="45" spans="1:8" ht="15" customHeight="1" x14ac:dyDescent="0.2">
      <c r="A45" s="23">
        <f>IF(C45=0,MAX($A$10:A43)+1," ")</f>
        <v>12</v>
      </c>
      <c r="B45" s="24"/>
      <c r="C45" s="25"/>
      <c r="D45" s="26" t="s">
        <v>109</v>
      </c>
      <c r="E45" s="25" t="s">
        <v>110</v>
      </c>
      <c r="F45" s="104">
        <f>0.35*(7.16+5.08)</f>
        <v>4.2839999999999998</v>
      </c>
      <c r="G45" s="25"/>
      <c r="H45" s="83"/>
    </row>
    <row r="46" spans="1:8" x14ac:dyDescent="0.2">
      <c r="A46" s="15" t="str">
        <f>IF(C46=0,MAX($A$10:A45)+1," ")</f>
        <v xml:space="preserve"> </v>
      </c>
      <c r="B46" s="16"/>
      <c r="C46" s="17" t="s">
        <v>111</v>
      </c>
      <c r="D46" s="64" t="s">
        <v>113</v>
      </c>
      <c r="E46" s="64"/>
      <c r="F46" s="100"/>
      <c r="G46" s="64"/>
      <c r="H46" s="65"/>
    </row>
    <row r="47" spans="1:8" x14ac:dyDescent="0.2">
      <c r="A47" s="28" t="str">
        <f>IF(C47=0,MAX($A$10:A46)+1," ")</f>
        <v xml:space="preserve"> </v>
      </c>
      <c r="B47" s="29" t="s">
        <v>66</v>
      </c>
      <c r="C47" s="30" t="s">
        <v>112</v>
      </c>
      <c r="D47" s="66" t="s">
        <v>114</v>
      </c>
      <c r="E47" s="66"/>
      <c r="F47" s="101"/>
      <c r="G47" s="66"/>
      <c r="H47" s="67"/>
    </row>
    <row r="48" spans="1:8" ht="15" customHeight="1" x14ac:dyDescent="0.2">
      <c r="A48" s="23">
        <f>IF(C48=0,MAX($A$10:A46)+1," ")</f>
        <v>13</v>
      </c>
      <c r="B48" s="24"/>
      <c r="C48" s="25"/>
      <c r="D48" s="26" t="s">
        <v>115</v>
      </c>
      <c r="E48" s="25" t="s">
        <v>110</v>
      </c>
      <c r="F48" s="104">
        <f>3.5*15+1+1.65+3.3+1.5</f>
        <v>59.949999999999996</v>
      </c>
      <c r="G48" s="25"/>
      <c r="H48" s="83"/>
    </row>
    <row r="49" spans="1:8" s="10" customFormat="1" ht="15.75" x14ac:dyDescent="0.2">
      <c r="A49" s="12" t="str">
        <f>IF(C49=0,MAX(#REF!)+1," ")</f>
        <v xml:space="preserve"> </v>
      </c>
      <c r="B49" s="13"/>
      <c r="C49" s="14" t="s">
        <v>116</v>
      </c>
      <c r="D49" s="62" t="s">
        <v>117</v>
      </c>
      <c r="E49" s="62"/>
      <c r="F49" s="103"/>
      <c r="G49" s="62"/>
      <c r="H49" s="63"/>
    </row>
    <row r="50" spans="1:8" x14ac:dyDescent="0.2">
      <c r="A50" s="28" t="str">
        <f>IF(C50=0,MAX($A$10:A49)+1," ")</f>
        <v xml:space="preserve"> </v>
      </c>
      <c r="B50" s="29" t="s">
        <v>66</v>
      </c>
      <c r="C50" s="30" t="s">
        <v>293</v>
      </c>
      <c r="D50" s="66" t="s">
        <v>294</v>
      </c>
      <c r="E50" s="66"/>
      <c r="F50" s="101"/>
      <c r="G50" s="66"/>
      <c r="H50" s="67"/>
    </row>
    <row r="51" spans="1:8" ht="18.75" customHeight="1" x14ac:dyDescent="0.2">
      <c r="A51" s="23">
        <f>IF(C51=0,MAX($A$10:A49)+1," ")</f>
        <v>14</v>
      </c>
      <c r="B51" s="24"/>
      <c r="C51" s="25"/>
      <c r="D51" s="26" t="s">
        <v>118</v>
      </c>
      <c r="E51" s="25" t="s">
        <v>8</v>
      </c>
      <c r="F51" s="104">
        <v>32</v>
      </c>
      <c r="G51" s="25"/>
      <c r="H51" s="83"/>
    </row>
    <row r="52" spans="1:8" s="10" customFormat="1" ht="15.75" x14ac:dyDescent="0.2">
      <c r="A52" s="12" t="str">
        <f>IF(C52=0,MAX(#REF!)+1," ")</f>
        <v xml:space="preserve"> </v>
      </c>
      <c r="B52" s="13"/>
      <c r="C52" s="14" t="s">
        <v>126</v>
      </c>
      <c r="D52" s="62" t="s">
        <v>127</v>
      </c>
      <c r="E52" s="62"/>
      <c r="F52" s="103"/>
      <c r="G52" s="62"/>
      <c r="H52" s="63"/>
    </row>
    <row r="53" spans="1:8" x14ac:dyDescent="0.2">
      <c r="A53" s="28" t="str">
        <f>IF(C53=0,MAX($A$10:A52)+1," ")</f>
        <v xml:space="preserve"> </v>
      </c>
      <c r="B53" s="29" t="s">
        <v>66</v>
      </c>
      <c r="C53" s="30" t="s">
        <v>129</v>
      </c>
      <c r="D53" s="66" t="s">
        <v>128</v>
      </c>
      <c r="E53" s="66"/>
      <c r="F53" s="101"/>
      <c r="G53" s="66"/>
      <c r="H53" s="67"/>
    </row>
    <row r="54" spans="1:8" ht="15.75" customHeight="1" x14ac:dyDescent="0.2">
      <c r="A54" s="23">
        <f>IF(C54=0,MAX($A$10:A52)+1," ")</f>
        <v>15</v>
      </c>
      <c r="B54" s="24"/>
      <c r="C54" s="25"/>
      <c r="D54" s="26" t="s">
        <v>130</v>
      </c>
      <c r="E54" s="25" t="s">
        <v>65</v>
      </c>
      <c r="F54" s="104">
        <f>231.1+322.5</f>
        <v>553.6</v>
      </c>
      <c r="G54" s="25"/>
      <c r="H54" s="83"/>
    </row>
    <row r="55" spans="1:8" s="10" customFormat="1" ht="15.75" x14ac:dyDescent="0.2">
      <c r="A55" s="12" t="str">
        <f>IF(C55=0,MAX(#REF!)+1," ")</f>
        <v xml:space="preserve"> </v>
      </c>
      <c r="B55" s="13"/>
      <c r="C55" s="14" t="s">
        <v>23</v>
      </c>
      <c r="D55" s="71" t="s">
        <v>24</v>
      </c>
      <c r="E55" s="72"/>
      <c r="F55" s="106"/>
      <c r="G55" s="72"/>
      <c r="H55" s="73"/>
    </row>
    <row r="56" spans="1:8" x14ac:dyDescent="0.2">
      <c r="A56" s="15" t="str">
        <f>IF(C56=0,MAX($A$10:A55)+1," ")</f>
        <v xml:space="preserve"> </v>
      </c>
      <c r="B56" s="16"/>
      <c r="C56" s="17" t="s">
        <v>25</v>
      </c>
      <c r="D56" s="68" t="s">
        <v>24</v>
      </c>
      <c r="E56" s="69"/>
      <c r="F56" s="107"/>
      <c r="G56" s="69"/>
      <c r="H56" s="70"/>
    </row>
    <row r="57" spans="1:8" ht="12.75" customHeight="1" x14ac:dyDescent="0.2">
      <c r="A57" s="28" t="str">
        <f>IF(C57=0,MAX($A$10:A56)+1," ")</f>
        <v xml:space="preserve"> </v>
      </c>
      <c r="B57" s="29" t="s">
        <v>27</v>
      </c>
      <c r="C57" s="30" t="s">
        <v>122</v>
      </c>
      <c r="D57" s="66" t="s">
        <v>119</v>
      </c>
      <c r="E57" s="66"/>
      <c r="F57" s="101"/>
      <c r="G57" s="66"/>
      <c r="H57" s="67"/>
    </row>
    <row r="58" spans="1:8" s="18" customFormat="1" ht="25.5" x14ac:dyDescent="0.2">
      <c r="A58" s="23">
        <f>IF(C58=0,MAX($A$10:A56)+1," ")</f>
        <v>16</v>
      </c>
      <c r="B58" s="31"/>
      <c r="C58" s="32"/>
      <c r="D58" s="34" t="s">
        <v>120</v>
      </c>
      <c r="E58" s="33" t="s">
        <v>22</v>
      </c>
      <c r="F58" s="102">
        <f>20+15</f>
        <v>35</v>
      </c>
      <c r="G58" s="33"/>
      <c r="H58" s="83"/>
    </row>
    <row r="59" spans="1:8" x14ac:dyDescent="0.2">
      <c r="A59" s="28" t="str">
        <f>IF(C59=0,MAX($A$10:A58)+1," ")</f>
        <v xml:space="preserve"> </v>
      </c>
      <c r="B59" s="29" t="s">
        <v>27</v>
      </c>
      <c r="C59" s="30" t="s">
        <v>32</v>
      </c>
      <c r="D59" s="66" t="s">
        <v>121</v>
      </c>
      <c r="E59" s="66"/>
      <c r="F59" s="101"/>
      <c r="G59" s="66"/>
      <c r="H59" s="67"/>
    </row>
    <row r="60" spans="1:8" s="18" customFormat="1" ht="25.5" x14ac:dyDescent="0.2">
      <c r="A60" s="23">
        <f>IF(C60=0,MAX($A$10:A58)+1," ")</f>
        <v>17</v>
      </c>
      <c r="B60" s="31"/>
      <c r="C60" s="32"/>
      <c r="D60" s="34" t="s">
        <v>124</v>
      </c>
      <c r="E60" s="33" t="s">
        <v>22</v>
      </c>
      <c r="F60" s="102">
        <v>15</v>
      </c>
      <c r="G60" s="33"/>
      <c r="H60" s="83"/>
    </row>
    <row r="61" spans="1:8" s="18" customFormat="1" ht="25.5" x14ac:dyDescent="0.2">
      <c r="A61" s="23">
        <f>IF(C61=0,MAX($A$10:A60)+1," ")</f>
        <v>18</v>
      </c>
      <c r="B61" s="31"/>
      <c r="C61" s="32"/>
      <c r="D61" s="34" t="s">
        <v>125</v>
      </c>
      <c r="E61" s="33" t="s">
        <v>21</v>
      </c>
      <c r="F61" s="102">
        <f>20*0.5*0.5</f>
        <v>5</v>
      </c>
      <c r="G61" s="33"/>
      <c r="H61" s="83"/>
    </row>
    <row r="62" spans="1:8" x14ac:dyDescent="0.2">
      <c r="A62" s="15" t="str">
        <f>IF(C62=0,MAX($A$10:A60)+1," ")</f>
        <v xml:space="preserve"> </v>
      </c>
      <c r="B62" s="16"/>
      <c r="C62" s="17" t="s">
        <v>37</v>
      </c>
      <c r="D62" s="64" t="s">
        <v>38</v>
      </c>
      <c r="E62" s="64"/>
      <c r="F62" s="100"/>
      <c r="G62" s="64"/>
      <c r="H62" s="65"/>
    </row>
    <row r="63" spans="1:8" x14ac:dyDescent="0.2">
      <c r="A63" s="28" t="str">
        <f>IF(C63=0,MAX($A$10:A62)+1," ")</f>
        <v xml:space="preserve"> </v>
      </c>
      <c r="B63" s="29" t="s">
        <v>27</v>
      </c>
      <c r="C63" s="30" t="s">
        <v>42</v>
      </c>
      <c r="D63" s="66" t="s">
        <v>43</v>
      </c>
      <c r="E63" s="66"/>
      <c r="F63" s="101"/>
      <c r="G63" s="66"/>
      <c r="H63" s="67"/>
    </row>
    <row r="64" spans="1:8" s="18" customFormat="1" ht="13.5" thickBot="1" x14ac:dyDescent="0.25">
      <c r="A64" s="44">
        <f>IF(C64=0,MAX($A$10:A63)+1," ")</f>
        <v>19</v>
      </c>
      <c r="B64" s="45"/>
      <c r="C64" s="46"/>
      <c r="D64" s="47" t="s">
        <v>43</v>
      </c>
      <c r="E64" s="48" t="s">
        <v>40</v>
      </c>
      <c r="F64" s="108">
        <v>1</v>
      </c>
      <c r="G64" s="48"/>
      <c r="H64" s="93"/>
    </row>
    <row r="65" spans="1:8" ht="21" customHeight="1" thickBot="1" x14ac:dyDescent="0.25">
      <c r="F65" s="112" t="s">
        <v>320</v>
      </c>
      <c r="G65" s="135"/>
      <c r="H65" s="136"/>
    </row>
    <row r="70" spans="1:8" s="7" customFormat="1" x14ac:dyDescent="0.2">
      <c r="A70" s="1"/>
      <c r="B70" s="2"/>
      <c r="C70" s="2"/>
      <c r="D70" s="40"/>
      <c r="F70" s="3"/>
      <c r="G70" s="2"/>
    </row>
  </sheetData>
  <mergeCells count="14">
    <mergeCell ref="A1:H1"/>
    <mergeCell ref="G6:H6"/>
    <mergeCell ref="G7:G8"/>
    <mergeCell ref="H7:H8"/>
    <mergeCell ref="G65:H65"/>
    <mergeCell ref="A6:A8"/>
    <mergeCell ref="B6:B8"/>
    <mergeCell ref="C6:C8"/>
    <mergeCell ref="D6:D8"/>
    <mergeCell ref="E6:F6"/>
    <mergeCell ref="E7:E8"/>
    <mergeCell ref="F7:F8"/>
    <mergeCell ref="A3:H3"/>
    <mergeCell ref="A4:H4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65" fitToHeight="5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36</vt:i4>
      </vt:variant>
    </vt:vector>
  </HeadingPairs>
  <TitlesOfParts>
    <vt:vector size="54" baseType="lpstr">
      <vt:lpstr>8+158,89</vt:lpstr>
      <vt:lpstr>10+771,23</vt:lpstr>
      <vt:lpstr>20+828,18</vt:lpstr>
      <vt:lpstr>26+050,91</vt:lpstr>
      <vt:lpstr>24+992</vt:lpstr>
      <vt:lpstr>P6</vt:lpstr>
      <vt:lpstr>P+PP12</vt:lpstr>
      <vt:lpstr>P+PP23</vt:lpstr>
      <vt:lpstr>P+PP34</vt:lpstr>
      <vt:lpstr>P+PP36</vt:lpstr>
      <vt:lpstr>P37</vt:lpstr>
      <vt:lpstr>P+PP42</vt:lpstr>
      <vt:lpstr>P44</vt:lpstr>
      <vt:lpstr>P+PP46</vt:lpstr>
      <vt:lpstr>P53</vt:lpstr>
      <vt:lpstr>Mur1</vt:lpstr>
      <vt:lpstr>Mur2</vt:lpstr>
      <vt:lpstr>Przepusty okrągłe</vt:lpstr>
      <vt:lpstr>'10+771,23'!Obszar_wydruku</vt:lpstr>
      <vt:lpstr>'20+828,18'!Obszar_wydruku</vt:lpstr>
      <vt:lpstr>'24+992'!Obszar_wydruku</vt:lpstr>
      <vt:lpstr>'26+050,91'!Obszar_wydruku</vt:lpstr>
      <vt:lpstr>'8+158,89'!Obszar_wydruku</vt:lpstr>
      <vt:lpstr>'Mur1'!Obszar_wydruku</vt:lpstr>
      <vt:lpstr>'Mur2'!Obszar_wydruku</vt:lpstr>
      <vt:lpstr>'P+PP12'!Obszar_wydruku</vt:lpstr>
      <vt:lpstr>'P+PP23'!Obszar_wydruku</vt:lpstr>
      <vt:lpstr>'P+PP34'!Obszar_wydruku</vt:lpstr>
      <vt:lpstr>'P+PP36'!Obszar_wydruku</vt:lpstr>
      <vt:lpstr>'P+PP42'!Obszar_wydruku</vt:lpstr>
      <vt:lpstr>'P+PP46'!Obszar_wydruku</vt:lpstr>
      <vt:lpstr>'P37'!Obszar_wydruku</vt:lpstr>
      <vt:lpstr>'P44'!Obszar_wydruku</vt:lpstr>
      <vt:lpstr>'P53'!Obszar_wydruku</vt:lpstr>
      <vt:lpstr>'P6'!Obszar_wydruku</vt:lpstr>
      <vt:lpstr>'Przepusty okrągłe'!Obszar_wydruku</vt:lpstr>
      <vt:lpstr>'10+771,23'!Tytuły_wydruku</vt:lpstr>
      <vt:lpstr>'20+828,18'!Tytuły_wydruku</vt:lpstr>
      <vt:lpstr>'24+992'!Tytuły_wydruku</vt:lpstr>
      <vt:lpstr>'26+050,91'!Tytuły_wydruku</vt:lpstr>
      <vt:lpstr>'8+158,89'!Tytuły_wydruku</vt:lpstr>
      <vt:lpstr>'Mur1'!Tytuły_wydruku</vt:lpstr>
      <vt:lpstr>'Mur2'!Tytuły_wydruku</vt:lpstr>
      <vt:lpstr>'P+PP12'!Tytuły_wydruku</vt:lpstr>
      <vt:lpstr>'P+PP23'!Tytuły_wydruku</vt:lpstr>
      <vt:lpstr>'P+PP34'!Tytuły_wydruku</vt:lpstr>
      <vt:lpstr>'P+PP36'!Tytuły_wydruku</vt:lpstr>
      <vt:lpstr>'P+PP42'!Tytuły_wydruku</vt:lpstr>
      <vt:lpstr>'P+PP46'!Tytuły_wydruku</vt:lpstr>
      <vt:lpstr>'P37'!Tytuły_wydruku</vt:lpstr>
      <vt:lpstr>'P44'!Tytuły_wydruku</vt:lpstr>
      <vt:lpstr>'P53'!Tytuły_wydruku</vt:lpstr>
      <vt:lpstr>'P6'!Tytuły_wydruku</vt:lpstr>
      <vt:lpstr>'Przepusty okrągłe'!Tytuły_wydruku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Roland</cp:lastModifiedBy>
  <cp:lastPrinted>2018-08-29T11:40:24Z</cp:lastPrinted>
  <dcterms:created xsi:type="dcterms:W3CDTF">2014-01-02T14:23:35Z</dcterms:created>
  <dcterms:modified xsi:type="dcterms:W3CDTF">2018-08-29T11:40:32Z</dcterms:modified>
</cp:coreProperties>
</file>