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land\Desktop\512 KO\2\"/>
    </mc:Choice>
  </mc:AlternateContent>
  <xr:revisionPtr revIDLastSave="0" documentId="10_ncr:8100000_{6A82D57C-25DE-4858-B4D3-95E512A23AB0}" xr6:coauthVersionLast="34" xr6:coauthVersionMax="34" xr10:uidLastSave="{00000000-0000-0000-0000-000000000000}"/>
  <bookViews>
    <workbookView xWindow="0" yWindow="0" windowWidth="28800" windowHeight="12225" tabRatio="802" xr2:uid="{00000000-000D-0000-FFFF-FFFF00000000}"/>
  </bookViews>
  <sheets>
    <sheet name="33+198_Wiewiórki" sheetId="33" r:id="rId1"/>
    <sheet name="27+480" sheetId="17" r:id="rId2"/>
    <sheet name="31+046" sheetId="35" r:id="rId3"/>
    <sheet name="36+092" sheetId="18" r:id="rId4"/>
    <sheet name="37+937" sheetId="36" r:id="rId5"/>
    <sheet name="38+937" sheetId="21" r:id="rId6"/>
    <sheet name="45+765" sheetId="19" r:id="rId7"/>
    <sheet name="48+349" sheetId="37" r:id="rId8"/>
    <sheet name="Przepusty okrągłe" sheetId="34" r:id="rId9"/>
  </sheets>
  <definedNames>
    <definedName name="_xlnm.Print_Area" localSheetId="1">'27+480'!$A$1:$H$36</definedName>
    <definedName name="_xlnm.Print_Area" localSheetId="2">'31+046'!$A$1:$H$28</definedName>
    <definedName name="_xlnm.Print_Area" localSheetId="0">'33+198_Wiewiórki'!$A$1:$H$99</definedName>
    <definedName name="_xlnm.Print_Area" localSheetId="3">'36+092'!$A$1:$H$35</definedName>
    <definedName name="_xlnm.Print_Area" localSheetId="4">'37+937'!$A$1:$H$35</definedName>
    <definedName name="_xlnm.Print_Area" localSheetId="5">'38+937'!$A$1:$H$69</definedName>
    <definedName name="_xlnm.Print_Area" localSheetId="6">'45+765'!$A$1:$H$36</definedName>
    <definedName name="_xlnm.Print_Area" localSheetId="7">'48+349'!$A$1:$H$35</definedName>
    <definedName name="_xlnm.Print_Area" localSheetId="8">'Przepusty okrągłe'!$A$1:$H$121</definedName>
    <definedName name="_xlnm.Print_Titles" localSheetId="1">'27+480'!$5:$9</definedName>
    <definedName name="_xlnm.Print_Titles" localSheetId="2">'31+046'!$5:$9</definedName>
    <definedName name="_xlnm.Print_Titles" localSheetId="0">'33+198_Wiewiórki'!$5:$9</definedName>
    <definedName name="_xlnm.Print_Titles" localSheetId="3">'36+092'!$5:$9</definedName>
    <definedName name="_xlnm.Print_Titles" localSheetId="4">'37+937'!$5:$9</definedName>
    <definedName name="_xlnm.Print_Titles" localSheetId="5">'38+937'!$5:$9</definedName>
    <definedName name="_xlnm.Print_Titles" localSheetId="6">'45+765'!$5:$9</definedName>
    <definedName name="_xlnm.Print_Titles" localSheetId="7">'48+349'!$5:$9</definedName>
    <definedName name="_xlnm.Print_Titles" localSheetId="8">'Przepusty okrągłe'!$5:$9</definedName>
  </definedNames>
  <calcPr calcId="162913"/>
  <fileRecoveryPr autoRecover="0"/>
</workbook>
</file>

<file path=xl/calcChain.xml><?xml version="1.0" encoding="utf-8"?>
<calcChain xmlns="http://schemas.openxmlformats.org/spreadsheetml/2006/main">
  <c r="F73" i="34" l="1"/>
  <c r="F117" i="34"/>
  <c r="F58" i="21" l="1"/>
  <c r="F18" i="35" l="1"/>
  <c r="F24" i="33"/>
  <c r="F106" i="34" l="1"/>
  <c r="F69" i="34"/>
  <c r="F64" i="34"/>
  <c r="F72" i="34"/>
  <c r="F71" i="34"/>
  <c r="F70" i="34"/>
  <c r="F68" i="34"/>
  <c r="F67" i="34"/>
  <c r="F66" i="34"/>
  <c r="F65" i="34"/>
  <c r="F63" i="34"/>
  <c r="F62" i="34"/>
  <c r="F61" i="34"/>
  <c r="F60" i="34"/>
  <c r="F59" i="34"/>
  <c r="F58" i="34"/>
  <c r="F57" i="34"/>
  <c r="F56" i="34"/>
  <c r="F55" i="34"/>
  <c r="F54" i="34"/>
  <c r="F53" i="34"/>
  <c r="F52" i="34"/>
  <c r="F51" i="34"/>
  <c r="F42" i="34"/>
  <c r="F38" i="34"/>
  <c r="F35" i="34"/>
  <c r="F115" i="34" s="1"/>
  <c r="F34" i="34"/>
  <c r="F114" i="34" s="1"/>
  <c r="F33" i="34"/>
  <c r="F113" i="34" s="1"/>
  <c r="F32" i="34"/>
  <c r="F112" i="34" s="1"/>
  <c r="F31" i="34"/>
  <c r="F111" i="34" s="1"/>
  <c r="F30" i="34"/>
  <c r="F110" i="34" s="1"/>
  <c r="F29" i="34"/>
  <c r="F109" i="34" s="1"/>
  <c r="F28" i="34"/>
  <c r="F108" i="34" s="1"/>
  <c r="F27" i="34"/>
  <c r="F107" i="34" s="1"/>
  <c r="F26" i="34"/>
  <c r="F25" i="34"/>
  <c r="F105" i="34" s="1"/>
  <c r="F24" i="34"/>
  <c r="F23" i="34"/>
  <c r="F103" i="34" s="1"/>
  <c r="F22" i="34"/>
  <c r="F102" i="34" s="1"/>
  <c r="F21" i="34"/>
  <c r="F101" i="34" s="1"/>
  <c r="F19" i="34"/>
  <c r="F20" i="34"/>
  <c r="F100" i="34" s="1"/>
  <c r="F18" i="34"/>
  <c r="F98" i="34" s="1"/>
  <c r="F17" i="34"/>
  <c r="F97" i="34" s="1"/>
  <c r="F16" i="34"/>
  <c r="F96" i="34" s="1"/>
  <c r="F15" i="34"/>
  <c r="F95" i="34" s="1"/>
  <c r="F14" i="34"/>
  <c r="F104" i="34" l="1"/>
  <c r="F35" i="19"/>
  <c r="F34" i="37"/>
  <c r="F33" i="37"/>
  <c r="F32" i="37"/>
  <c r="F24" i="37"/>
  <c r="F22" i="37"/>
  <c r="F20" i="37"/>
  <c r="F13" i="37"/>
  <c r="A31" i="37"/>
  <c r="A30" i="37"/>
  <c r="A28" i="37"/>
  <c r="A26" i="37"/>
  <c r="A25" i="37"/>
  <c r="A23" i="37"/>
  <c r="A21" i="37"/>
  <c r="A19" i="37"/>
  <c r="A18" i="37"/>
  <c r="A17" i="37"/>
  <c r="F16" i="37"/>
  <c r="A15" i="37"/>
  <c r="A14" i="37"/>
  <c r="A12" i="37"/>
  <c r="A11" i="37"/>
  <c r="A10" i="37"/>
  <c r="F34" i="19"/>
  <c r="F33" i="19"/>
  <c r="F25" i="19"/>
  <c r="F24" i="19"/>
  <c r="F20" i="19"/>
  <c r="F16" i="19"/>
  <c r="F13" i="19"/>
  <c r="F65" i="21"/>
  <c r="F35" i="21"/>
  <c r="F62" i="21"/>
  <c r="A13" i="37" l="1"/>
  <c r="F16" i="17"/>
  <c r="A16" i="37" l="1"/>
  <c r="A20" i="37" s="1"/>
  <c r="F52" i="21"/>
  <c r="F49" i="21"/>
  <c r="F46" i="21"/>
  <c r="F43" i="21"/>
  <c r="F28" i="21"/>
  <c r="F24" i="21"/>
  <c r="F20" i="21"/>
  <c r="F17" i="21"/>
  <c r="F15" i="21"/>
  <c r="F13" i="21"/>
  <c r="F34" i="36"/>
  <c r="F32" i="36"/>
  <c r="F24" i="36"/>
  <c r="F20" i="36"/>
  <c r="F16" i="36"/>
  <c r="F13" i="36"/>
  <c r="A31" i="36"/>
  <c r="A30" i="36"/>
  <c r="A28" i="36"/>
  <c r="A26" i="36"/>
  <c r="A25" i="36"/>
  <c r="A23" i="36"/>
  <c r="A21" i="36"/>
  <c r="A19" i="36"/>
  <c r="A18" i="36"/>
  <c r="A17" i="36"/>
  <c r="A15" i="36"/>
  <c r="A14" i="36"/>
  <c r="A12" i="36"/>
  <c r="A11" i="36"/>
  <c r="A10" i="36"/>
  <c r="F34" i="18"/>
  <c r="F32" i="18"/>
  <c r="F24" i="18"/>
  <c r="F20" i="18"/>
  <c r="F16" i="18"/>
  <c r="F13" i="18"/>
  <c r="A23" i="35"/>
  <c r="A21" i="18"/>
  <c r="F15" i="35"/>
  <c r="A14" i="35"/>
  <c r="F13" i="35"/>
  <c r="F93" i="33"/>
  <c r="A92" i="33"/>
  <c r="A22" i="37" l="1"/>
  <c r="A24" i="37" s="1"/>
  <c r="A13" i="36"/>
  <c r="A26" i="35"/>
  <c r="A25" i="35"/>
  <c r="A21" i="35"/>
  <c r="A20" i="35"/>
  <c r="A19" i="35"/>
  <c r="A17" i="35"/>
  <c r="A16" i="35"/>
  <c r="A12" i="35"/>
  <c r="A11" i="35"/>
  <c r="A10" i="35"/>
  <c r="A27" i="37" l="1"/>
  <c r="A29" i="37"/>
  <c r="A32" i="37" s="1"/>
  <c r="A16" i="36"/>
  <c r="A20" i="36" s="1"/>
  <c r="A13" i="35"/>
  <c r="A33" i="37" l="1"/>
  <c r="A34" i="37" s="1"/>
  <c r="A22" i="36"/>
  <c r="A15" i="35"/>
  <c r="A18" i="35" s="1"/>
  <c r="A22" i="35" s="1"/>
  <c r="A24" i="35" l="1"/>
  <c r="A24" i="36"/>
  <c r="A27" i="36" s="1"/>
  <c r="A29" i="36" s="1"/>
  <c r="A15" i="17"/>
  <c r="A14" i="17"/>
  <c r="F35" i="17"/>
  <c r="F20" i="17"/>
  <c r="A19" i="17"/>
  <c r="F33" i="17"/>
  <c r="F25" i="17"/>
  <c r="F24" i="17"/>
  <c r="F22" i="17"/>
  <c r="F13" i="17"/>
  <c r="F76" i="33"/>
  <c r="A75" i="33"/>
  <c r="F91" i="33"/>
  <c r="F89" i="33"/>
  <c r="F83" i="33"/>
  <c r="F82" i="33"/>
  <c r="F74" i="33"/>
  <c r="A73" i="33"/>
  <c r="F79" i="33"/>
  <c r="F70" i="33"/>
  <c r="F67" i="33"/>
  <c r="F64" i="33"/>
  <c r="F61" i="33"/>
  <c r="F58" i="33"/>
  <c r="F29" i="33"/>
  <c r="A28" i="33"/>
  <c r="A27" i="33"/>
  <c r="F49" i="33"/>
  <c r="A48" i="33"/>
  <c r="A47" i="33"/>
  <c r="F46" i="33"/>
  <c r="F33" i="33"/>
  <c r="A45" i="33"/>
  <c r="A25" i="33"/>
  <c r="F43" i="33"/>
  <c r="F39" i="33"/>
  <c r="F37" i="33"/>
  <c r="A36" i="33"/>
  <c r="A32" i="36" l="1"/>
  <c r="A33" i="36" s="1"/>
  <c r="A34" i="36" s="1"/>
  <c r="A27" i="35"/>
  <c r="A23" i="33" l="1"/>
  <c r="A22" i="33"/>
  <c r="F21" i="33"/>
  <c r="F19" i="33" l="1"/>
  <c r="F15" i="33"/>
  <c r="F13" i="33"/>
  <c r="F94" i="34" l="1"/>
  <c r="A116" i="34"/>
  <c r="A36" i="34"/>
  <c r="F99" i="34"/>
  <c r="A49" i="34"/>
  <c r="A48" i="34"/>
  <c r="A46" i="34"/>
  <c r="A44" i="34"/>
  <c r="A43" i="34"/>
  <c r="A41" i="34"/>
  <c r="A40" i="34"/>
  <c r="A39" i="34"/>
  <c r="A12" i="34"/>
  <c r="A11" i="34"/>
  <c r="A10" i="34"/>
  <c r="A88" i="33"/>
  <c r="A81" i="33"/>
  <c r="A78" i="33"/>
  <c r="A77" i="33"/>
  <c r="A69" i="33"/>
  <c r="A14" i="33"/>
  <c r="A12" i="33"/>
  <c r="A15" i="33" s="1"/>
  <c r="A11" i="33"/>
  <c r="A10" i="33"/>
  <c r="F93" i="34" l="1"/>
  <c r="A13" i="34"/>
  <c r="A37" i="34" s="1"/>
  <c r="A42" i="34" s="1"/>
  <c r="F50" i="34"/>
  <c r="F37" i="34"/>
  <c r="F13" i="34"/>
  <c r="A19" i="33"/>
  <c r="A97" i="33"/>
  <c r="A95" i="33"/>
  <c r="A94" i="33"/>
  <c r="A90" i="33"/>
  <c r="A87" i="33"/>
  <c r="A86" i="33"/>
  <c r="A84" i="33"/>
  <c r="A80" i="33"/>
  <c r="A71" i="33"/>
  <c r="A68" i="33"/>
  <c r="A66" i="33"/>
  <c r="A65" i="33"/>
  <c r="A63" i="33"/>
  <c r="A62" i="33"/>
  <c r="A60" i="33"/>
  <c r="A59" i="33"/>
  <c r="A57" i="33"/>
  <c r="A56" i="33"/>
  <c r="A55" i="33"/>
  <c r="A53" i="33"/>
  <c r="A51" i="33"/>
  <c r="A50" i="33"/>
  <c r="A42" i="33"/>
  <c r="A40" i="33"/>
  <c r="A38" i="33"/>
  <c r="A35" i="33"/>
  <c r="A34" i="33"/>
  <c r="A32" i="33"/>
  <c r="A31" i="33"/>
  <c r="A30" i="33"/>
  <c r="A20" i="33"/>
  <c r="A18" i="33"/>
  <c r="A17" i="33"/>
  <c r="A16" i="33"/>
  <c r="A45" i="34" l="1"/>
  <c r="A47" i="34" s="1"/>
  <c r="A50" i="34" l="1"/>
  <c r="A57" i="21" l="1"/>
  <c r="A56" i="21"/>
  <c r="F55" i="21"/>
  <c r="A54" i="21"/>
  <c r="A53" i="21"/>
  <c r="A51" i="21" l="1"/>
  <c r="A50" i="21"/>
  <c r="A48" i="21"/>
  <c r="A47" i="21"/>
  <c r="A45" i="21"/>
  <c r="A44" i="21"/>
  <c r="A42" i="21"/>
  <c r="A41" i="21"/>
  <c r="A40" i="21"/>
  <c r="A37" i="21"/>
  <c r="A36" i="21"/>
  <c r="A34" i="21"/>
  <c r="A33" i="21"/>
  <c r="F32" i="21"/>
  <c r="A31" i="21"/>
  <c r="A29" i="21"/>
  <c r="A27" i="21" l="1"/>
  <c r="A26" i="21"/>
  <c r="A25" i="21"/>
  <c r="A23" i="21"/>
  <c r="A22" i="21"/>
  <c r="A21" i="21"/>
  <c r="A59" i="21"/>
  <c r="A60" i="21"/>
  <c r="A14" i="21"/>
  <c r="A16" i="21"/>
  <c r="A67" i="21"/>
  <c r="A66" i="21"/>
  <c r="A63" i="21"/>
  <c r="A61" i="21"/>
  <c r="A19" i="21"/>
  <c r="A18" i="21"/>
  <c r="A12" i="21"/>
  <c r="A11" i="21"/>
  <c r="A10" i="21"/>
  <c r="A23" i="19"/>
  <c r="A26" i="19"/>
  <c r="A27" i="19"/>
  <c r="A29" i="19"/>
  <c r="A31" i="19"/>
  <c r="A32" i="19"/>
  <c r="A21" i="19"/>
  <c r="A19" i="19"/>
  <c r="A18" i="19"/>
  <c r="A17" i="19"/>
  <c r="A15" i="19"/>
  <c r="A14" i="19"/>
  <c r="A12" i="19"/>
  <c r="A11" i="19"/>
  <c r="A10" i="19"/>
  <c r="A31" i="18"/>
  <c r="A30" i="18"/>
  <c r="A28" i="18"/>
  <c r="A26" i="18"/>
  <c r="A25" i="18"/>
  <c r="A23" i="18"/>
  <c r="A19" i="18"/>
  <c r="A18" i="18"/>
  <c r="A17" i="18"/>
  <c r="A15" i="18"/>
  <c r="A14" i="18"/>
  <c r="A12" i="18"/>
  <c r="A11" i="18"/>
  <c r="A10" i="18"/>
  <c r="A29" i="17"/>
  <c r="A27" i="17"/>
  <c r="A26" i="17"/>
  <c r="A32" i="17"/>
  <c r="A31" i="17"/>
  <c r="A23" i="17"/>
  <c r="A21" i="17"/>
  <c r="A18" i="17"/>
  <c r="A17" i="17"/>
  <c r="A12" i="17"/>
  <c r="A13" i="21" l="1"/>
  <c r="A13" i="19"/>
  <c r="A13" i="18"/>
  <c r="A15" i="21" l="1"/>
  <c r="A16" i="19"/>
  <c r="A16" i="18"/>
  <c r="A11" i="17"/>
  <c r="A10" i="17"/>
  <c r="A17" i="21" l="1"/>
  <c r="A20" i="21" s="1"/>
  <c r="A24" i="21" s="1"/>
  <c r="A28" i="21" s="1"/>
  <c r="A20" i="19"/>
  <c r="A22" i="19" s="1"/>
  <c r="A20" i="18"/>
  <c r="A22" i="18" s="1"/>
  <c r="A13" i="17"/>
  <c r="A16" i="17" s="1"/>
  <c r="A20" i="17" s="1"/>
  <c r="A24" i="19" l="1"/>
  <c r="A25" i="19" s="1"/>
  <c r="A30" i="21"/>
  <c r="A22" i="17"/>
  <c r="A24" i="18"/>
  <c r="A32" i="21" l="1"/>
  <c r="A28" i="19"/>
  <c r="A27" i="18"/>
  <c r="A35" i="21" l="1"/>
  <c r="A30" i="19"/>
  <c r="A33" i="19" s="1"/>
  <c r="A34" i="19" s="1"/>
  <c r="A29" i="18"/>
  <c r="A32" i="18" s="1"/>
  <c r="A24" i="17"/>
  <c r="A25" i="17" l="1"/>
  <c r="A28" i="17" s="1"/>
  <c r="A38" i="21"/>
  <c r="A35" i="19"/>
  <c r="A33" i="18"/>
  <c r="A34" i="18" s="1"/>
  <c r="A39" i="21" l="1"/>
  <c r="A43" i="21" s="1"/>
  <c r="A46" i="21" s="1"/>
  <c r="A49" i="21" s="1"/>
  <c r="A52" i="21" s="1"/>
  <c r="A55" i="21" s="1"/>
  <c r="A58" i="21" s="1"/>
  <c r="A30" i="17"/>
  <c r="A33" i="17" s="1"/>
  <c r="A34" i="17" s="1"/>
  <c r="A35" i="17" l="1"/>
  <c r="A62" i="21"/>
  <c r="A64" i="21" l="1"/>
  <c r="A65" i="21" l="1"/>
  <c r="A68" i="21" s="1"/>
  <c r="A21" i="33" l="1"/>
  <c r="A24" i="33" l="1"/>
  <c r="A26" i="33" s="1"/>
  <c r="A29" i="33" l="1"/>
  <c r="A33" i="33" s="1"/>
  <c r="A37" i="33" l="1"/>
  <c r="A39" i="33" s="1"/>
  <c r="A41" i="33" l="1"/>
  <c r="A43" i="33" s="1"/>
  <c r="A44" i="33" s="1"/>
  <c r="A46" i="33" l="1"/>
  <c r="A49" i="33" s="1"/>
  <c r="A52" i="33" l="1"/>
  <c r="A54" i="33" s="1"/>
  <c r="A58" i="33" l="1"/>
  <c r="A61" i="33"/>
  <c r="A64" i="33" s="1"/>
  <c r="A67" i="33" s="1"/>
  <c r="A70" i="33" l="1"/>
  <c r="A72" i="33" s="1"/>
  <c r="A74" i="33" l="1"/>
  <c r="A76" i="33" s="1"/>
  <c r="A79" i="33" s="1"/>
  <c r="A82" i="33" l="1"/>
  <c r="A83" i="33"/>
  <c r="A85" i="33" s="1"/>
  <c r="A89" i="33" l="1"/>
  <c r="A91" i="33" s="1"/>
  <c r="A93" i="33" s="1"/>
  <c r="A96" i="33" l="1"/>
  <c r="A98" i="33" s="1"/>
</calcChain>
</file>

<file path=xl/sharedStrings.xml><?xml version="1.0" encoding="utf-8"?>
<sst xmlns="http://schemas.openxmlformats.org/spreadsheetml/2006/main" count="1038" uniqueCount="269">
  <si>
    <t>Lp.</t>
  </si>
  <si>
    <t>CPV</t>
  </si>
  <si>
    <t>Numer Specyfikacji Technicznej</t>
  </si>
  <si>
    <t>Wyszczególnienie elementów rozliczeniowych 
i wyliczenie ilości</t>
  </si>
  <si>
    <t>Jednostka</t>
  </si>
  <si>
    <t>Nazwa</t>
  </si>
  <si>
    <t>Ilość</t>
  </si>
  <si>
    <t>45111000-8</t>
  </si>
  <si>
    <t>m</t>
  </si>
  <si>
    <t>45233000-9</t>
  </si>
  <si>
    <t>M-11.00.00.</t>
  </si>
  <si>
    <t>FUNDAMENTOWANIE</t>
  </si>
  <si>
    <t>M-11.01.01.</t>
  </si>
  <si>
    <t>ROBOTY ZIEMNE POD FUNDAMENTY</t>
  </si>
  <si>
    <t>M-11.05.00.</t>
  </si>
  <si>
    <t>M-11.01.00.</t>
  </si>
  <si>
    <t>Wykonanie wykopu z wywozem gruntu i utylizacją</t>
  </si>
  <si>
    <t>ŚCIANKI SZCZELNE</t>
  </si>
  <si>
    <t>M-11.05.01.</t>
  </si>
  <si>
    <t>WYKOPY W GRUNCIE NIESPOISTYM/SPOISTYM</t>
  </si>
  <si>
    <t>Wykonanie obudowy wykopu ścianką szczelną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</si>
  <si>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</si>
  <si>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</si>
  <si>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M-20.00.00.</t>
  </si>
  <si>
    <t>INNE ROBOTY MOSTOWE</t>
  </si>
  <si>
    <t>M-20.01.00.</t>
  </si>
  <si>
    <t>M-20.01.09.</t>
  </si>
  <si>
    <t>45221000-2</t>
  </si>
  <si>
    <t>SCHODY SKARPOWE</t>
  </si>
  <si>
    <t>Schody skarpowe dla obsługi</t>
  </si>
  <si>
    <t>Wykonanie opaski z kamienia na podbudowie betonowej wokół rury przepustu na wlocie i wylocie</t>
  </si>
  <si>
    <t>Umocnienie koryta cieku materacem gabionowym układanym na geowłókninie</t>
  </si>
  <si>
    <t>M-20.01.15.</t>
  </si>
  <si>
    <t>M-20.03.00.</t>
  </si>
  <si>
    <t>PRZEPUSTY</t>
  </si>
  <si>
    <t>M-20.03.01.</t>
  </si>
  <si>
    <t>PRZEPUSTY STALOWE</t>
  </si>
  <si>
    <t>M-20.02.00.</t>
  </si>
  <si>
    <t>ROBOTY RÓŻNE</t>
  </si>
  <si>
    <t>ROBOTY ROZBIÓRKOWE</t>
  </si>
  <si>
    <t>kpl.</t>
  </si>
  <si>
    <t>M-20.02.01.</t>
  </si>
  <si>
    <t>M-20.02.02.</t>
  </si>
  <si>
    <t>Obsługa geodezyjna</t>
  </si>
  <si>
    <t>Wykonanie materaca kruszywowego pod rurą przepustu
- geotkanina,
- podsypka piaskowa gr.10cm,
- georuszt trójosiowy, 
- zasypka z mieszanki niezwiązanej gr. 25cm
- georuszt trójosiowy, 
- zasypka z mieszanki niezwiązanej gr. 10cm
- geotkanina,</t>
  </si>
  <si>
    <t>Wykonanie przepustu z rury łukowo-kołowej zabezpieczonej antykorozyjnie wraz z wykonaniem fundamentu kruszywowego</t>
  </si>
  <si>
    <t>Wykonanie zasypki przepustu wraz z zagęszczeniem</t>
  </si>
  <si>
    <t>M-11.01.05.</t>
  </si>
  <si>
    <t>WYMIANA GRUNTU W WYKOPIE</t>
  </si>
  <si>
    <t>M-20.01.08.</t>
  </si>
  <si>
    <t>MUR Z GRUNTU ZBROJONEGO</t>
  </si>
  <si>
    <t>Wykonanie ściany czołowej z gruntu zbrojonego oblicowanego bloczkami betonowymi</t>
  </si>
  <si>
    <t>Wymiana gruntu w wykopie wraz  ułożeniem geowłókniny na wszystkich powierzchniach wykopu</t>
  </si>
  <si>
    <t>M-11.01.04.</t>
  </si>
  <si>
    <t>ZASYPANIE WYKOPÓW WRAZ Z ZAGĘSZCZENIEM</t>
  </si>
  <si>
    <t>Zasypanie wykopów powyżej poziomu posadowienia przepustu</t>
  </si>
  <si>
    <t>M-12.00.00.</t>
  </si>
  <si>
    <t>ZBROJENIE</t>
  </si>
  <si>
    <t>M-12.01.00.</t>
  </si>
  <si>
    <t>STAL ZBROJENIOWA</t>
  </si>
  <si>
    <t>ZBROJENIE BETONU STALĄ KLASY A-IIIN</t>
  </si>
  <si>
    <t>M-12.01.01.</t>
  </si>
  <si>
    <t>Montaż zbrojenia ze stali klasy AIII-N</t>
  </si>
  <si>
    <t>kg</t>
  </si>
  <si>
    <t>45111000-2</t>
  </si>
  <si>
    <t>M-13.00.00.</t>
  </si>
  <si>
    <t>BETON</t>
  </si>
  <si>
    <t>M-13.01.00.</t>
  </si>
  <si>
    <t>BETON KONSTRUKCYJNY – WYMAGANIA OGÓLNE</t>
  </si>
  <si>
    <t>M-13.01.01.</t>
  </si>
  <si>
    <t>Beton fundamentów klasy C30/37</t>
  </si>
  <si>
    <t>m3</t>
  </si>
  <si>
    <t xml:space="preserve">BETON FUNDAMENTÓW </t>
  </si>
  <si>
    <t>M-13.01.03.</t>
  </si>
  <si>
    <t>BETON USTROJU NIOSĄCEGO W DESKOWANIU</t>
  </si>
  <si>
    <t>Beton płyty zespalającej klasy C30/37</t>
  </si>
  <si>
    <t>BETON PŁYT PRZEJŚCIOWYCH</t>
  </si>
  <si>
    <t>Beton płyt przejściowych klasy C30/37</t>
  </si>
  <si>
    <t>BETON NIEKONSTRUKCYJNY</t>
  </si>
  <si>
    <t>BETON PODKŁADOWY I OCHRONNY</t>
  </si>
  <si>
    <t>M-13.01.09.</t>
  </si>
  <si>
    <t>M-13.02.00.</t>
  </si>
  <si>
    <t>M-13.02.01.</t>
  </si>
  <si>
    <t>PREFABRYKATY BETONOWE</t>
  </si>
  <si>
    <t>M-13.03.00.</t>
  </si>
  <si>
    <t>M-13.03.02.</t>
  </si>
  <si>
    <t>PREFABRYKATY PRZEPUSTÓW</t>
  </si>
  <si>
    <t>M-15.00.00.</t>
  </si>
  <si>
    <t>IZOLACJE</t>
  </si>
  <si>
    <t>M-15.01.00.</t>
  </si>
  <si>
    <t>IZOLACJA CIENKA</t>
  </si>
  <si>
    <t>Beton podkładowy i ochronny klasy C12/15</t>
  </si>
  <si>
    <t>BETON PODPÓR W DESKOWANIU</t>
  </si>
  <si>
    <t xml:space="preserve"> IZOLACJE BITUMICZNE WYKONYWANE NA ZIMNO</t>
  </si>
  <si>
    <t>M-15.01.01.</t>
  </si>
  <si>
    <t>Izolacja bitumiczna elementów zasypanych podpór i płyty wew. przepustu i skrzydeł</t>
  </si>
  <si>
    <t>M-15.02.00.</t>
  </si>
  <si>
    <t>IZOLACJA GRUBA</t>
  </si>
  <si>
    <t>IZOLACJA Z PAPY TERMOZGRZEWALNEJ</t>
  </si>
  <si>
    <t>Izolacja z papy termozgrzewalnej na górnych powierzchniach płyt przejściowych i płycie zespalającej</t>
  </si>
  <si>
    <t>M-15.02.01.</t>
  </si>
  <si>
    <t>M-15.04.00.</t>
  </si>
  <si>
    <t>NAWIERZCHNIO-IZOLACJE</t>
  </si>
  <si>
    <t>NAWIERZCHNIO-IZOLACJA CHODNIKÓW GR. 5MM</t>
  </si>
  <si>
    <t>M-15.04.01.</t>
  </si>
  <si>
    <t>Nawierzchnio-izolacja na górnych powierzchniach gzymsów</t>
  </si>
  <si>
    <t>m2</t>
  </si>
  <si>
    <t>M-15.06.00.</t>
  </si>
  <si>
    <t>M-15.06.01.</t>
  </si>
  <si>
    <t>ZABEZPIECZENIE ANTYKOROZYJNE BETONU</t>
  </si>
  <si>
    <t>POWIERZCHNIOWE ZABEZPIECZENIE BETONU</t>
  </si>
  <si>
    <t>Powierzchniowe zabezpieczenie elementów betonowych odkrytych</t>
  </si>
  <si>
    <t>M-16.00.00.</t>
  </si>
  <si>
    <t>ODWODNIENIE</t>
  </si>
  <si>
    <t>Drenaż za płytą przejściową</t>
  </si>
  <si>
    <t>UMOCNIENIE SKARP, STOŻKÓW I DNA CIEKÓW ELEMENTAMI KAMIENNYMI</t>
  </si>
  <si>
    <t>Wykonanie umocnienia dna i skarp elementami kamiennymi na podbudowie cementowo piaskowej z wypełnieniem spoin zaprawą cementową</t>
  </si>
  <si>
    <t>UMOCNIENIE KORYTA CIEKU/RZEKI ELEMENTAMI GABIONOWYMI</t>
  </si>
  <si>
    <t>M-20.01.13.</t>
  </si>
  <si>
    <t>Rozbiórka istniejącego przepustu z wywozem materiałów z rozbiórki i utylizacją</t>
  </si>
  <si>
    <t>Wykonanie półki dla zwierząt z koszy gabionowych wraz z wykonanie wyściółki gruntowej na gabionach</t>
  </si>
  <si>
    <t>M-19.00.00.</t>
  </si>
  <si>
    <t>ELEMENTY ZABEZPIECZAJĄCE</t>
  </si>
  <si>
    <t>BALUSTRADY STALOWE</t>
  </si>
  <si>
    <t>M-19.01.04.</t>
  </si>
  <si>
    <t>Balustrady stalowe na ściankach czołowych</t>
  </si>
  <si>
    <t xml:space="preserve">Zasypanie wykopów </t>
  </si>
  <si>
    <t xml:space="preserve">ŚCIANKA SZCZELNA STALOWA </t>
  </si>
  <si>
    <t>ŚCIANKA SZCZELNA STALOWA</t>
  </si>
  <si>
    <t>Wykonanie obudowy wykopu ścianką szczelną  (tymczasową)</t>
  </si>
  <si>
    <t>M-13.01.06.</t>
  </si>
  <si>
    <t>BETON KAP CHODNIKOWYCH</t>
  </si>
  <si>
    <t>Beton kap chodnikowych klasy C30/37</t>
  </si>
  <si>
    <t>D-05.00.00.</t>
  </si>
  <si>
    <t>NAWIERZCHNIE</t>
  </si>
  <si>
    <t>D-05.03.00.</t>
  </si>
  <si>
    <t>NAWIERZCHNIE TWARDE ULEPSZONE</t>
  </si>
  <si>
    <t>D-05.03.07.</t>
  </si>
  <si>
    <t>WARSTWA WIĄŻĄCA Z ASFALTU LANEGO MA11 NA OBIEKTACH MOSTOWYCH</t>
  </si>
  <si>
    <t>D-05.03.13.</t>
  </si>
  <si>
    <t>WARSTWA ŚCIERALNA Z MASTYKSU GRYSOWEGO SMA11 NA OBIEKTACH MOSTOWYCH</t>
  </si>
  <si>
    <t>Wykonanie warstwy ścieralnej grubości 40mm</t>
  </si>
  <si>
    <t>WYKONANIE I MONTAŻ PREFABRYKATÓW BETONOWYCH SPRĘŻONYCH</t>
  </si>
  <si>
    <t>M-13.03.01.</t>
  </si>
  <si>
    <t>szt</t>
  </si>
  <si>
    <t>M-13.03.08.</t>
  </si>
  <si>
    <t>PREFABRYKOWANE GZYMSY Z POLIMEROBETONU</t>
  </si>
  <si>
    <t>Belki gzymsowe polimerobetonowe o wysokości 600mm</t>
  </si>
  <si>
    <t>Izolacja bitumiczna elementów zasypanych podpór i skrzydeł</t>
  </si>
  <si>
    <t>Izolacja z papy termozgrzewalnej na płycie mostu</t>
  </si>
  <si>
    <t>Nawierzchnio-izolacja na górnych powierzchniach kap i gzymsów skrzydeł</t>
  </si>
  <si>
    <t>Powierzchniowe zabezpieczenie elementów betonowych odkrytych podpór i płyty</t>
  </si>
  <si>
    <t>szt.</t>
  </si>
  <si>
    <t>M-16.01.04.</t>
  </si>
  <si>
    <t>DRENAŻ NA PŁYCIE POMOSTU</t>
  </si>
  <si>
    <t>Drenaż podłużny i poprzeczny na płycie pomostu</t>
  </si>
  <si>
    <t>M-18.00.00.</t>
  </si>
  <si>
    <t>URZĄDZENIA DYLATACYJNE</t>
  </si>
  <si>
    <t>M-18.01.04.</t>
  </si>
  <si>
    <t>Wykonanie uciąglenia nawierzchni</t>
  </si>
  <si>
    <t>M-19.01.01.</t>
  </si>
  <si>
    <t>KRAWĘŻNIKI KAMIENNE</t>
  </si>
  <si>
    <t>Krawężniki kamienne 180x200mm</t>
  </si>
  <si>
    <t>M-19.01.02.</t>
  </si>
  <si>
    <t>BARIERY OCHRONNE NA OBIEKTACH MOSTOWYCH</t>
  </si>
  <si>
    <t>Bariery ochronne H2 W2 B</t>
  </si>
  <si>
    <t>M-20.01.11.</t>
  </si>
  <si>
    <t>UMOCNIENIE SKARP I STOŻKÓW KOSTKĄ BETONOWĄ</t>
  </si>
  <si>
    <t>Przepust P2</t>
  </si>
  <si>
    <t>Przepust P3</t>
  </si>
  <si>
    <t>Przepust P4</t>
  </si>
  <si>
    <t>Przepust P5</t>
  </si>
  <si>
    <t>Przepust P8</t>
  </si>
  <si>
    <t>Przepust P9</t>
  </si>
  <si>
    <t>Przepust P10</t>
  </si>
  <si>
    <t>Przepust P11</t>
  </si>
  <si>
    <t>Przepust P13</t>
  </si>
  <si>
    <t>Przepust P14</t>
  </si>
  <si>
    <t>Przepust P16</t>
  </si>
  <si>
    <t>Przepust P18</t>
  </si>
  <si>
    <t>Przepust P20</t>
  </si>
  <si>
    <t>Przepust P22</t>
  </si>
  <si>
    <t>Przepust P25</t>
  </si>
  <si>
    <t>Przepust P27</t>
  </si>
  <si>
    <t>Wykonanie przepustu z rury okrągłej zabezpieczonej antykorozyjnie wraz z wykonaniem fundamentu kruszywowego</t>
  </si>
  <si>
    <r>
      <t xml:space="preserve">Przepust P4 -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</si>
  <si>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</si>
  <si>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P9 -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</si>
  <si>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P10 -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</si>
  <si>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P11 -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</si>
  <si>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P16 -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</si>
  <si>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P18 -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</si>
  <si>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P22 -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</si>
  <si>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P25 -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</si>
  <si>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t>M-20.03.02.</t>
  </si>
  <si>
    <t>PRZEPUSTY Z RUR GRP</t>
  </si>
  <si>
    <t>Wykonanie przepustu z rury okrągłej GRP wraz z wykonaniem fundamentu kruszywowego</t>
  </si>
  <si>
    <t>Montaż kotew talerzowych</t>
  </si>
  <si>
    <t>M-16.01.06.</t>
  </si>
  <si>
    <t>DRENY ODWADNIAJĄCE</t>
  </si>
  <si>
    <t>M-20.01.12.</t>
  </si>
  <si>
    <t xml:space="preserve">Wykonanie warstwy wiążącej grubości 45mm </t>
  </si>
  <si>
    <t>M-11.03.00.</t>
  </si>
  <si>
    <t>PALE FORMOWANE W GRUNCIE</t>
  </si>
  <si>
    <t>PALE FUNDAMENTOWE WIELKOŚREDNICOWE Ø800</t>
  </si>
  <si>
    <t>M-11.03.01.</t>
  </si>
  <si>
    <t>M-13.01.02.</t>
  </si>
  <si>
    <t>BETON FUNDAMENTÓW</t>
  </si>
  <si>
    <t>Beton podpór klasy C30/37</t>
  </si>
  <si>
    <t>Beton płyty klasy C30/37</t>
  </si>
  <si>
    <r>
      <t>Prefabrykowane belki typu "Kujan", L</t>
    </r>
    <r>
      <rPr>
        <vertAlign val="subscript"/>
        <sz val="10"/>
        <rFont val="Times New Roman"/>
        <family val="1"/>
        <charset val="238"/>
      </rPr>
      <t>t</t>
    </r>
    <r>
      <rPr>
        <sz val="10"/>
        <rFont val="Times New Roman"/>
        <family val="1"/>
        <charset val="238"/>
      </rPr>
      <t>=12m</t>
    </r>
  </si>
  <si>
    <t>M-11.03.06.</t>
  </si>
  <si>
    <t>PRÓBNE OBCIĄŻENIE PALI</t>
  </si>
  <si>
    <r>
      <t xml:space="preserve">Wykonanie próbnych obciążeń pali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 xml:space="preserve">800 </t>
    </r>
  </si>
  <si>
    <t>Płyt przejściowych klasy C30/37</t>
  </si>
  <si>
    <t>M-16.01.07.</t>
  </si>
  <si>
    <t>ODWODNIENIE ZASYPKI PRZYCZÓŁKA</t>
  </si>
  <si>
    <t>Ułożenie geokompozytu drenażowego na tylnej ścianie przyczółka</t>
  </si>
  <si>
    <t>Krawężniki kamienne 200x300mm na dojazdach</t>
  </si>
  <si>
    <t>Umocnienie powierzchchni stożków oraz powierzchni poziomych kostką betonową</t>
  </si>
  <si>
    <t>M-16.01.08.</t>
  </si>
  <si>
    <t>ŚCIEKI SKARPOWE</t>
  </si>
  <si>
    <t>Wykonanie ścieku skarpowego wraz z obrukowaniem</t>
  </si>
  <si>
    <t>Balustrady stalowe kotwione w fundamentach betonowych</t>
  </si>
  <si>
    <t>Przepust P+PP1 na rowie</t>
  </si>
  <si>
    <t>Umocnienie skarpy przy istniejącym przepuście P6</t>
  </si>
  <si>
    <t>UMOCNIENIE SKARP I STOŻKÓW PRZYCZÓŁKOWYCH MATĄ PRZECIWEROZYJNĄ Z
HUMUSOWANIEM I OBSIANIEM TRAWĄ</t>
  </si>
  <si>
    <t xml:space="preserve">Umocnienie powierzchchni stożków </t>
  </si>
  <si>
    <t>Zasypanie przestrzeni za ścianą z gruntu zbrojonego</t>
  </si>
  <si>
    <t xml:space="preserve">Wykonanie umocnienia z kamienia na podbudowie betonowej </t>
  </si>
  <si>
    <t>Prefabrykaty przepustu o przekroju wewnętrznym 2,0m x 1,5m z betonu klasy C40/50</t>
  </si>
  <si>
    <t>Prefabrykaty wlotów/skrzydeł z betonu klasy C40/50</t>
  </si>
  <si>
    <t>Umocnienie koryta cieku  materacem gabionowym układanym na geowłókninie</t>
  </si>
  <si>
    <t>Wykonanie półki dla zwierząt z koszy gabionowych wraz z wykonaniem wyściółki gruntowej na gabionach</t>
  </si>
  <si>
    <t>Przepust PP7</t>
  </si>
  <si>
    <t>Przepust P12</t>
  </si>
  <si>
    <t>Przepust PP17</t>
  </si>
  <si>
    <t>Przepust P23</t>
  </si>
  <si>
    <t>Przepust PP24</t>
  </si>
  <si>
    <t>Przepust P28</t>
  </si>
  <si>
    <r>
      <t xml:space="preserve">Przepust P2 -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</si>
  <si>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>Przepust P3 -</t>
    </r>
    <r>
      <rPr>
        <sz val="10"/>
        <rFont val="Symbol"/>
        <family val="1"/>
        <charset val="2"/>
      </rPr>
      <t xml:space="preserve"> f</t>
    </r>
    <r>
      <rPr>
        <sz val="10"/>
        <rFont val="Times New Roman"/>
        <family val="1"/>
        <charset val="238"/>
      </rPr>
      <t>800</t>
    </r>
  </si>
  <si>
    <r>
      <t xml:space="preserve">Przepust P8 -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</si>
  <si>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P12 -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</si>
  <si>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P13 -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1000</t>
    </r>
  </si>
  <si>
    <r>
      <t xml:space="preserve">Przepust P14 -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</si>
  <si>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P20 -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</si>
  <si>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P23 -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</si>
  <si>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>Przepust P27 -</t>
    </r>
    <r>
      <rPr>
        <sz val="10"/>
        <rFont val="Symbol"/>
        <family val="1"/>
        <charset val="2"/>
      </rPr>
      <t xml:space="preserve"> f</t>
    </r>
    <r>
      <rPr>
        <sz val="10"/>
        <rFont val="Times New Roman"/>
        <family val="1"/>
        <charset val="238"/>
      </rPr>
      <t>800</t>
    </r>
  </si>
  <si>
    <r>
      <t>Przepust P28 -</t>
    </r>
    <r>
      <rPr>
        <sz val="10"/>
        <rFont val="Symbol"/>
        <family val="1"/>
        <charset val="2"/>
      </rPr>
      <t xml:space="preserve"> f</t>
    </r>
    <r>
      <rPr>
        <sz val="10"/>
        <rFont val="Times New Roman"/>
        <family val="1"/>
        <charset val="238"/>
      </rPr>
      <t>800</t>
    </r>
  </si>
  <si>
    <r>
      <t xml:space="preserve">Przepust PP7 -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</si>
  <si>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r>
      <t xml:space="preserve">Przepust PP17 -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</si>
  <si>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r>
      <t xml:space="preserve">Przepust PP24 -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</si>
  <si>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t xml:space="preserve">Rozbiórka i budowa mostu w m. Wiewiórki w km 33+198,10 </t>
  </si>
  <si>
    <t>Cena</t>
  </si>
  <si>
    <t>Jedn.
[PLN]</t>
  </si>
  <si>
    <t>Wartość
[PLN]</t>
  </si>
  <si>
    <r>
      <t xml:space="preserve">Wykonanie pali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 pionowych i ukośnych z iniekcją podstawy pala</t>
    </r>
  </si>
  <si>
    <t>PRZEKRYCIE DYLATACYJNE – „UCIĄGLENIE NAWIERZCHNI” POPRZEZ ZAZBROJENIE SIATKĄ Z TWORZYWA</t>
  </si>
  <si>
    <t>Rozbiórka istniejącego obiektu</t>
  </si>
  <si>
    <t xml:space="preserve">Przepust P+PP15 </t>
  </si>
  <si>
    <t xml:space="preserve">Przepust P+PP19 </t>
  </si>
  <si>
    <t xml:space="preserve">Przepust P+PP21 </t>
  </si>
  <si>
    <t xml:space="preserve">Przepust P+PZM26 </t>
  </si>
  <si>
    <t xml:space="preserve">Przepust P+PZM29 </t>
  </si>
  <si>
    <t>KOSZTORYS OFERTOWY</t>
  </si>
  <si>
    <t>Zadanie 2: Rozbudowa drogi wojewódzkiej nr 512 na odcinku Górowo Iławeckie - Bartoszyce</t>
  </si>
  <si>
    <t>Razem netto:</t>
  </si>
  <si>
    <t>Przepusty z rur okrągłych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</si>
</sst>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Times New Roman"/>
      <family val="1"/>
      <charset val="238"/>
    </font>
    <font>
      <sz val="12"/>
      <name val="Arial CE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9"/>
      <name val="Arial CE"/>
      <family val="2"/>
      <charset val="238"/>
    </font>
    <font>
      <sz val="10"/>
      <name val="Times New Roman"/>
      <family val="1"/>
      <charset val="238"/>
    </font>
    <font>
      <sz val="10"/>
      <color indexed="16"/>
      <name val="Arial"/>
      <family val="2"/>
      <charset val="238"/>
    </font>
    <font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sz val="10"/>
      <name val="Symbol"/>
      <family val="1"/>
      <charset val="2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31"/>
      </patternFill>
    </fill>
  </fills>
  <borders count="6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145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0" fontId="12" fillId="3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vertical="center" wrapText="1"/>
    </xf>
    <xf numFmtId="164" fontId="6" fillId="0" borderId="11" xfId="0" applyNumberFormat="1" applyFont="1" applyFill="1" applyBorder="1" applyAlignment="1">
      <alignment horizontal="right" vertical="center" wrapText="1"/>
    </xf>
    <xf numFmtId="0" fontId="15" fillId="4" borderId="4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vertical="center" wrapText="1"/>
    </xf>
    <xf numFmtId="3" fontId="6" fillId="0" borderId="11" xfId="0" applyNumberFormat="1" applyFont="1" applyFill="1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0" fontId="14" fillId="0" borderId="2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6" fillId="0" borderId="11" xfId="0" applyNumberFormat="1" applyFont="1" applyFill="1" applyBorder="1" applyAlignment="1">
      <alignment horizontal="right" vertical="center" wrapText="1"/>
    </xf>
    <xf numFmtId="0" fontId="4" fillId="0" borderId="24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vertical="center" wrapText="1"/>
    </xf>
    <xf numFmtId="0" fontId="13" fillId="0" borderId="25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31" xfId="0" applyFont="1" applyFill="1" applyBorder="1" applyAlignment="1">
      <alignment vertical="center" wrapText="1"/>
    </xf>
    <xf numFmtId="0" fontId="14" fillId="0" borderId="31" xfId="0" applyFont="1" applyBorder="1" applyAlignment="1">
      <alignment horizontal="center" vertical="center" wrapText="1"/>
    </xf>
    <xf numFmtId="164" fontId="6" fillId="0" borderId="30" xfId="0" applyNumberFormat="1" applyFont="1" applyFill="1" applyBorder="1" applyAlignment="1">
      <alignment horizontal="right" vertical="center" wrapText="1"/>
    </xf>
    <xf numFmtId="164" fontId="14" fillId="0" borderId="27" xfId="0" applyNumberFormat="1" applyFont="1" applyFill="1" applyBorder="1" applyAlignment="1">
      <alignment horizontal="right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4" fillId="0" borderId="3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6" fillId="2" borderId="2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28" xfId="0" applyFont="1" applyFill="1" applyBorder="1" applyAlignment="1">
      <alignment vertical="center" wrapText="1"/>
    </xf>
    <xf numFmtId="0" fontId="11" fillId="3" borderId="29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0" fontId="12" fillId="3" borderId="40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41" xfId="0" applyFont="1" applyFill="1" applyBorder="1" applyAlignment="1">
      <alignment vertical="center" wrapText="1"/>
    </xf>
    <xf numFmtId="0" fontId="11" fillId="3" borderId="42" xfId="0" applyFont="1" applyFill="1" applyBorder="1" applyAlignment="1">
      <alignment vertical="center" wrapText="1"/>
    </xf>
    <xf numFmtId="0" fontId="4" fillId="0" borderId="43" xfId="0" applyFont="1" applyFill="1" applyBorder="1" applyAlignment="1">
      <alignment horizontal="center" vertical="center"/>
    </xf>
    <xf numFmtId="0" fontId="13" fillId="0" borderId="44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vertical="center" wrapText="1"/>
    </xf>
    <xf numFmtId="0" fontId="14" fillId="0" borderId="45" xfId="0" applyFont="1" applyFill="1" applyBorder="1" applyAlignment="1">
      <alignment horizontal="center" vertical="center" wrapText="1"/>
    </xf>
    <xf numFmtId="3" fontId="6" fillId="0" borderId="46" xfId="0" applyNumberFormat="1" applyFont="1" applyFill="1" applyBorder="1" applyAlignment="1">
      <alignment horizontal="right" vertical="center" wrapText="1"/>
    </xf>
    <xf numFmtId="164" fontId="14" fillId="0" borderId="11" xfId="0" applyNumberFormat="1" applyFont="1" applyFill="1" applyBorder="1" applyAlignment="1">
      <alignment horizontal="right" vertical="center" wrapText="1"/>
    </xf>
    <xf numFmtId="0" fontId="14" fillId="0" borderId="45" xfId="0" applyFont="1" applyFill="1" applyBorder="1" applyAlignment="1">
      <alignment vertical="center" wrapText="1"/>
    </xf>
    <xf numFmtId="164" fontId="6" fillId="0" borderId="46" xfId="0" applyNumberFormat="1" applyFont="1" applyFill="1" applyBorder="1" applyAlignment="1">
      <alignment horizontal="right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3" fontId="6" fillId="0" borderId="49" xfId="0" applyNumberFormat="1" applyFont="1" applyBorder="1" applyAlignment="1">
      <alignment horizontal="center" vertical="center" wrapText="1"/>
    </xf>
    <xf numFmtId="164" fontId="14" fillId="0" borderId="46" xfId="0" applyNumberFormat="1" applyFont="1" applyFill="1" applyBorder="1" applyAlignment="1">
      <alignment horizontal="right" vertical="center" wrapText="1"/>
    </xf>
    <xf numFmtId="0" fontId="12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vertical="center" wrapText="1"/>
    </xf>
    <xf numFmtId="0" fontId="11" fillId="3" borderId="20" xfId="0" applyFont="1" applyFill="1" applyBorder="1" applyAlignment="1">
      <alignment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3" fontId="6" fillId="0" borderId="52" xfId="0" applyNumberFormat="1" applyFont="1" applyBorder="1" applyAlignment="1">
      <alignment horizontal="center" vertical="center" wrapText="1"/>
    </xf>
    <xf numFmtId="0" fontId="12" fillId="3" borderId="53" xfId="0" applyFont="1" applyFill="1" applyBorder="1" applyAlignment="1">
      <alignment horizontal="center" vertical="center"/>
    </xf>
    <xf numFmtId="0" fontId="15" fillId="2" borderId="53" xfId="0" applyFont="1" applyFill="1" applyBorder="1" applyAlignment="1">
      <alignment horizontal="center" vertical="center"/>
    </xf>
    <xf numFmtId="0" fontId="15" fillId="4" borderId="53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horizontal="center" vertical="center"/>
    </xf>
    <xf numFmtId="164" fontId="14" fillId="0" borderId="30" xfId="0" applyNumberFormat="1" applyFont="1" applyFill="1" applyBorder="1" applyAlignment="1">
      <alignment horizontal="right" vertical="center" wrapText="1"/>
    </xf>
    <xf numFmtId="164" fontId="14" fillId="0" borderId="20" xfId="0" applyNumberFormat="1" applyFont="1" applyFill="1" applyBorder="1" applyAlignment="1">
      <alignment horizontal="right" vertical="center" wrapText="1"/>
    </xf>
    <xf numFmtId="0" fontId="13" fillId="0" borderId="2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164" fontId="14" fillId="0" borderId="23" xfId="0" applyNumberFormat="1" applyFont="1" applyFill="1" applyBorder="1" applyAlignment="1">
      <alignment horizontal="right" vertical="center" wrapText="1"/>
    </xf>
    <xf numFmtId="164" fontId="6" fillId="0" borderId="55" xfId="0" applyNumberFormat="1" applyFont="1" applyBorder="1" applyAlignment="1">
      <alignment horizontal="right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4" fontId="14" fillId="0" borderId="27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0" fontId="5" fillId="0" borderId="24" xfId="0" applyFont="1" applyFill="1" applyBorder="1" applyAlignment="1">
      <alignment vertical="center"/>
    </xf>
    <xf numFmtId="0" fontId="13" fillId="0" borderId="25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 wrapText="1"/>
    </xf>
    <xf numFmtId="0" fontId="14" fillId="0" borderId="58" xfId="0" applyFont="1" applyFill="1" applyBorder="1" applyAlignment="1">
      <alignment vertical="center" wrapText="1"/>
    </xf>
    <xf numFmtId="0" fontId="14" fillId="0" borderId="58" xfId="0" applyFont="1" applyFill="1" applyBorder="1" applyAlignment="1">
      <alignment horizontal="center" vertical="center" wrapText="1"/>
    </xf>
    <xf numFmtId="4" fontId="6" fillId="0" borderId="59" xfId="0" applyNumberFormat="1" applyFont="1" applyFill="1" applyBorder="1" applyAlignment="1">
      <alignment horizontal="right" vertical="center" wrapText="1"/>
    </xf>
    <xf numFmtId="0" fontId="13" fillId="0" borderId="60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164" fontId="14" fillId="0" borderId="59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1" fillId="2" borderId="17" xfId="0" applyNumberFormat="1" applyFont="1" applyFill="1" applyBorder="1" applyAlignment="1">
      <alignment horizontal="center" vertical="center" wrapText="1"/>
    </xf>
    <xf numFmtId="164" fontId="11" fillId="2" borderId="19" xfId="0" applyNumberFormat="1" applyFont="1" applyFill="1" applyBorder="1" applyAlignment="1">
      <alignment horizontal="center" vertical="center" wrapText="1"/>
    </xf>
    <xf numFmtId="4" fontId="20" fillId="0" borderId="36" xfId="0" applyNumberFormat="1" applyFont="1" applyBorder="1" applyAlignment="1">
      <alignment horizontal="center" vertical="center"/>
    </xf>
    <xf numFmtId="4" fontId="20" fillId="0" borderId="37" xfId="0" applyNumberFormat="1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" fontId="20" fillId="0" borderId="38" xfId="0" applyNumberFormat="1" applyFont="1" applyBorder="1" applyAlignment="1">
      <alignment horizontal="center" vertical="center"/>
    </xf>
    <xf numFmtId="4" fontId="20" fillId="0" borderId="39" xfId="0" applyNumberFormat="1" applyFont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3" xfId="3" xr:uid="{00000000-0005-0000-0000-000003000000}"/>
    <cellStyle name="Normalny 4" xfId="4" xr:uid="{00000000-0005-0000-0000-000004000000}"/>
  </cellStyles>
  <dxfs count="0"/>
  <tableStyles count="0" defaultTableStyle="TableStyleMedium9" defaultPivotStyle="PivotStyleLight16"/>
  <colors>
    <mruColors>
      <color rgb="FF99C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B0FE-17EF-4966-BE2E-D697F94034A7}">
  <sheetPr>
    <tabColor rgb="FF92D050"/>
  </sheetPr>
  <dimension ref="A1:H104"/>
  <sheetViews>
    <sheetView tabSelected="1"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customHeight="1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253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35"/>
      <c r="B8" s="128"/>
      <c r="C8" s="138"/>
      <c r="D8" s="138"/>
      <c r="E8" s="128"/>
      <c r="F8" s="130"/>
      <c r="G8" s="129"/>
      <c r="H8" s="131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66" t="str">
        <f>IF(C10=0,MAX(#REF!)+1," ")</f>
        <v xml:space="preserve"> </v>
      </c>
      <c r="B10" s="67"/>
      <c r="C10" s="68" t="s">
        <v>133</v>
      </c>
      <c r="D10" s="69" t="s">
        <v>134</v>
      </c>
      <c r="E10" s="69"/>
      <c r="F10" s="70"/>
      <c r="G10" s="69"/>
      <c r="H10" s="70"/>
    </row>
    <row r="11" spans="1:8" x14ac:dyDescent="0.2">
      <c r="A11" s="15" t="str">
        <f>IF(C11=0,MAX($A10:A$16)+1," ")</f>
        <v xml:space="preserve"> </v>
      </c>
      <c r="B11" s="16"/>
      <c r="C11" s="17" t="s">
        <v>135</v>
      </c>
      <c r="D11" s="56" t="s">
        <v>136</v>
      </c>
      <c r="E11" s="56"/>
      <c r="F11" s="57"/>
      <c r="G11" s="56"/>
      <c r="H11" s="57"/>
    </row>
    <row r="12" spans="1:8" ht="12.75" customHeight="1" x14ac:dyDescent="0.2">
      <c r="A12" s="28" t="str">
        <f>IF(C12=0,MAX($A11:A$16)+1," ")</f>
        <v xml:space="preserve"> </v>
      </c>
      <c r="B12" s="29" t="s">
        <v>7</v>
      </c>
      <c r="C12" s="30" t="s">
        <v>137</v>
      </c>
      <c r="D12" s="54" t="s">
        <v>138</v>
      </c>
      <c r="E12" s="54"/>
      <c r="F12" s="55"/>
      <c r="G12" s="54"/>
      <c r="H12" s="55"/>
    </row>
    <row r="13" spans="1:8" x14ac:dyDescent="0.2">
      <c r="A13" s="23">
        <v>1</v>
      </c>
      <c r="B13" s="24"/>
      <c r="C13" s="25"/>
      <c r="D13" s="26" t="s">
        <v>201</v>
      </c>
      <c r="E13" s="25" t="s">
        <v>106</v>
      </c>
      <c r="F13" s="27">
        <f>8*12.5</f>
        <v>100</v>
      </c>
      <c r="G13" s="25"/>
      <c r="H13" s="77"/>
    </row>
    <row r="14" spans="1:8" ht="12.75" customHeight="1" x14ac:dyDescent="0.2">
      <c r="A14" s="28" t="str">
        <f>IF(C14=0,MAX($A14:A$16)+1," ")</f>
        <v xml:space="preserve"> </v>
      </c>
      <c r="B14" s="29" t="s">
        <v>7</v>
      </c>
      <c r="C14" s="30" t="s">
        <v>139</v>
      </c>
      <c r="D14" s="54" t="s">
        <v>140</v>
      </c>
      <c r="E14" s="54"/>
      <c r="F14" s="55"/>
      <c r="G14" s="54"/>
      <c r="H14" s="55"/>
    </row>
    <row r="15" spans="1:8" x14ac:dyDescent="0.2">
      <c r="A15" s="23">
        <f>IF(C15=0,MAX($A12:A$13)+1," ")</f>
        <v>2</v>
      </c>
      <c r="B15" s="24"/>
      <c r="C15" s="25"/>
      <c r="D15" s="26" t="s">
        <v>141</v>
      </c>
      <c r="E15" s="25" t="s">
        <v>106</v>
      </c>
      <c r="F15" s="27">
        <f>8*12.5</f>
        <v>100</v>
      </c>
      <c r="G15" s="25"/>
      <c r="H15" s="77"/>
    </row>
    <row r="16" spans="1:8" s="10" customFormat="1" ht="15.75" x14ac:dyDescent="0.2">
      <c r="A16" s="12" t="str">
        <f>IF(C16=0,MAX(#REF!)+1," ")</f>
        <v xml:space="preserve"> </v>
      </c>
      <c r="B16" s="13"/>
      <c r="C16" s="14" t="s">
        <v>10</v>
      </c>
      <c r="D16" s="64" t="s">
        <v>11</v>
      </c>
      <c r="E16" s="64"/>
      <c r="F16" s="65"/>
      <c r="G16" s="64"/>
      <c r="H16" s="65"/>
    </row>
    <row r="17" spans="1:8" x14ac:dyDescent="0.2">
      <c r="A17" s="15" t="str">
        <f>IF(C17=0,MAX($A$16:A16)+1," ")</f>
        <v xml:space="preserve"> </v>
      </c>
      <c r="B17" s="16"/>
      <c r="C17" s="17" t="s">
        <v>15</v>
      </c>
      <c r="D17" s="56" t="s">
        <v>13</v>
      </c>
      <c r="E17" s="56"/>
      <c r="F17" s="57"/>
      <c r="G17" s="56"/>
      <c r="H17" s="57"/>
    </row>
    <row r="18" spans="1:8" x14ac:dyDescent="0.2">
      <c r="A18" s="28" t="str">
        <f>IF(C18=0,MAX($A$16:A17)+1," ")</f>
        <v xml:space="preserve"> </v>
      </c>
      <c r="B18" s="29" t="s">
        <v>7</v>
      </c>
      <c r="C18" s="30" t="s">
        <v>12</v>
      </c>
      <c r="D18" s="54" t="s">
        <v>19</v>
      </c>
      <c r="E18" s="54"/>
      <c r="F18" s="55"/>
      <c r="G18" s="54"/>
      <c r="H18" s="55"/>
    </row>
    <row r="19" spans="1:8" ht="15.75" x14ac:dyDescent="0.2">
      <c r="A19" s="23">
        <f>IF(C19=0,MAX($A$11:A15)+1," ")</f>
        <v>3</v>
      </c>
      <c r="B19" s="24"/>
      <c r="C19" s="25"/>
      <c r="D19" s="26" t="s">
        <v>16</v>
      </c>
      <c r="E19" s="25" t="s">
        <v>21</v>
      </c>
      <c r="F19" s="27">
        <f>28*16*2</f>
        <v>896</v>
      </c>
      <c r="G19" s="25"/>
      <c r="H19" s="77"/>
    </row>
    <row r="20" spans="1:8" x14ac:dyDescent="0.2">
      <c r="A20" s="28" t="str">
        <f>IF(C20=0,MAX($A$16:A17)+1," ")</f>
        <v xml:space="preserve"> </v>
      </c>
      <c r="B20" s="29" t="s">
        <v>7</v>
      </c>
      <c r="C20" s="30" t="s">
        <v>53</v>
      </c>
      <c r="D20" s="54" t="s">
        <v>54</v>
      </c>
      <c r="E20" s="54"/>
      <c r="F20" s="55"/>
      <c r="G20" s="54"/>
      <c r="H20" s="55"/>
    </row>
    <row r="21" spans="1:8" ht="15.75" x14ac:dyDescent="0.2">
      <c r="A21" s="23">
        <f>IF(C21=0,MAX($A$16:A19)+1," ")</f>
        <v>4</v>
      </c>
      <c r="B21" s="24"/>
      <c r="C21" s="25"/>
      <c r="D21" s="26" t="s">
        <v>126</v>
      </c>
      <c r="E21" s="25" t="s">
        <v>21</v>
      </c>
      <c r="F21" s="27">
        <f>(21.5+3)*16*2</f>
        <v>784</v>
      </c>
      <c r="G21" s="25"/>
      <c r="H21" s="77"/>
    </row>
    <row r="22" spans="1:8" x14ac:dyDescent="0.2">
      <c r="A22" s="15" t="str">
        <f>IF(C22=0,MAX($A$16:A21)+1," ")</f>
        <v xml:space="preserve"> </v>
      </c>
      <c r="B22" s="16"/>
      <c r="C22" s="17" t="s">
        <v>202</v>
      </c>
      <c r="D22" s="56" t="s">
        <v>203</v>
      </c>
      <c r="E22" s="56"/>
      <c r="F22" s="57"/>
      <c r="G22" s="56"/>
      <c r="H22" s="57"/>
    </row>
    <row r="23" spans="1:8" x14ac:dyDescent="0.2">
      <c r="A23" s="28" t="str">
        <f>IF(C23=0,MAX($A$16:A22)+1," ")</f>
        <v xml:space="preserve"> </v>
      </c>
      <c r="B23" s="29" t="s">
        <v>7</v>
      </c>
      <c r="C23" s="30" t="s">
        <v>205</v>
      </c>
      <c r="D23" s="54" t="s">
        <v>204</v>
      </c>
      <c r="E23" s="54"/>
      <c r="F23" s="55"/>
      <c r="G23" s="54"/>
      <c r="H23" s="55"/>
    </row>
    <row r="24" spans="1:8" x14ac:dyDescent="0.2">
      <c r="A24" s="23">
        <f>IF(C24=0,MAX($A$11:A21)+1," ")</f>
        <v>5</v>
      </c>
      <c r="B24" s="24"/>
      <c r="C24" s="25"/>
      <c r="D24" s="26" t="s">
        <v>257</v>
      </c>
      <c r="E24" s="25" t="s">
        <v>8</v>
      </c>
      <c r="F24" s="27">
        <f>14*11*2</f>
        <v>308</v>
      </c>
      <c r="G24" s="25"/>
      <c r="H24" s="77"/>
    </row>
    <row r="25" spans="1:8" x14ac:dyDescent="0.2">
      <c r="A25" s="28" t="str">
        <f>IF(C25=0,MAX($A$16:A24)+1," ")</f>
        <v xml:space="preserve"> </v>
      </c>
      <c r="B25" s="29" t="s">
        <v>7</v>
      </c>
      <c r="C25" s="30" t="s">
        <v>211</v>
      </c>
      <c r="D25" s="54" t="s">
        <v>212</v>
      </c>
      <c r="E25" s="54"/>
      <c r="F25" s="55"/>
      <c r="G25" s="54"/>
      <c r="H25" s="55"/>
    </row>
    <row r="26" spans="1:8" x14ac:dyDescent="0.2">
      <c r="A26" s="23">
        <f>IF(C26=0,MAX($A$11:A24)+1," ")</f>
        <v>6</v>
      </c>
      <c r="B26" s="24"/>
      <c r="C26" s="25"/>
      <c r="D26" s="26" t="s">
        <v>213</v>
      </c>
      <c r="E26" s="25" t="s">
        <v>152</v>
      </c>
      <c r="F26" s="35">
        <v>2</v>
      </c>
      <c r="G26" s="25"/>
      <c r="H26" s="77"/>
    </row>
    <row r="27" spans="1:8" x14ac:dyDescent="0.2">
      <c r="A27" s="15" t="str">
        <f>IF(C27=0,MAX($A$10:A22)+1," ")</f>
        <v xml:space="preserve"> </v>
      </c>
      <c r="B27" s="16"/>
      <c r="C27" s="17" t="s">
        <v>14</v>
      </c>
      <c r="D27" s="56" t="s">
        <v>17</v>
      </c>
      <c r="E27" s="56"/>
      <c r="F27" s="57"/>
      <c r="G27" s="56"/>
      <c r="H27" s="57"/>
    </row>
    <row r="28" spans="1:8" x14ac:dyDescent="0.2">
      <c r="A28" s="28" t="str">
        <f>IF(C28=0,MAX($A$10:A27)+1," ")</f>
        <v xml:space="preserve"> </v>
      </c>
      <c r="B28" s="29" t="s">
        <v>7</v>
      </c>
      <c r="C28" s="30" t="s">
        <v>18</v>
      </c>
      <c r="D28" s="54" t="s">
        <v>128</v>
      </c>
      <c r="E28" s="54"/>
      <c r="F28" s="55"/>
      <c r="G28" s="54"/>
      <c r="H28" s="55"/>
    </row>
    <row r="29" spans="1:8" ht="15.75" x14ac:dyDescent="0.2">
      <c r="A29" s="23">
        <f>IF(C29=0,MAX($A$10:A27)+1," ")</f>
        <v>7</v>
      </c>
      <c r="B29" s="24"/>
      <c r="C29" s="25"/>
      <c r="D29" s="26" t="s">
        <v>20</v>
      </c>
      <c r="E29" s="25" t="s">
        <v>22</v>
      </c>
      <c r="F29" s="27">
        <f>6*42*2</f>
        <v>504</v>
      </c>
      <c r="G29" s="25"/>
      <c r="H29" s="77"/>
    </row>
    <row r="30" spans="1:8" s="10" customFormat="1" ht="15.75" x14ac:dyDescent="0.2">
      <c r="A30" s="12" t="str">
        <f>IF(C30=0,MAX(#REF!)+1," ")</f>
        <v xml:space="preserve"> </v>
      </c>
      <c r="B30" s="13"/>
      <c r="C30" s="14" t="s">
        <v>56</v>
      </c>
      <c r="D30" s="64" t="s">
        <v>57</v>
      </c>
      <c r="E30" s="64"/>
      <c r="F30" s="65"/>
      <c r="G30" s="64"/>
      <c r="H30" s="65"/>
    </row>
    <row r="31" spans="1:8" x14ac:dyDescent="0.2">
      <c r="A31" s="15" t="str">
        <f>IF(C31=0,MAX($A$16:A30)+1," ")</f>
        <v xml:space="preserve"> </v>
      </c>
      <c r="B31" s="16"/>
      <c r="C31" s="17" t="s">
        <v>58</v>
      </c>
      <c r="D31" s="56" t="s">
        <v>59</v>
      </c>
      <c r="E31" s="56"/>
      <c r="F31" s="57"/>
      <c r="G31" s="56"/>
      <c r="H31" s="57"/>
    </row>
    <row r="32" spans="1:8" x14ac:dyDescent="0.2">
      <c r="A32" s="28" t="str">
        <f>IF(C32=0,MAX($A$16:A31)+1," ")</f>
        <v xml:space="preserve"> </v>
      </c>
      <c r="B32" s="29" t="s">
        <v>64</v>
      </c>
      <c r="C32" s="30" t="s">
        <v>61</v>
      </c>
      <c r="D32" s="54" t="s">
        <v>60</v>
      </c>
      <c r="E32" s="54"/>
      <c r="F32" s="55"/>
      <c r="G32" s="54"/>
      <c r="H32" s="55"/>
    </row>
    <row r="33" spans="1:8" x14ac:dyDescent="0.2">
      <c r="A33" s="23">
        <f>IF(C33=0,MAX($A$16:A31)+1," ")</f>
        <v>8</v>
      </c>
      <c r="B33" s="24"/>
      <c r="C33" s="25"/>
      <c r="D33" s="26" t="s">
        <v>62</v>
      </c>
      <c r="E33" s="25" t="s">
        <v>63</v>
      </c>
      <c r="F33" s="27">
        <f>28827.2+19198.3+19283+8212.4+4454.9+1035.7</f>
        <v>81011.499999999985</v>
      </c>
      <c r="G33" s="25"/>
      <c r="H33" s="77"/>
    </row>
    <row r="34" spans="1:8" s="10" customFormat="1" ht="15.75" x14ac:dyDescent="0.2">
      <c r="A34" s="12" t="str">
        <f>IF(C34=0,MAX(#REF!)+1," ")</f>
        <v xml:space="preserve"> </v>
      </c>
      <c r="B34" s="13"/>
      <c r="C34" s="14" t="s">
        <v>65</v>
      </c>
      <c r="D34" s="64" t="s">
        <v>66</v>
      </c>
      <c r="E34" s="64"/>
      <c r="F34" s="65"/>
      <c r="G34" s="64"/>
      <c r="H34" s="65"/>
    </row>
    <row r="35" spans="1:8" x14ac:dyDescent="0.2">
      <c r="A35" s="15" t="str">
        <f>IF(C35=0,MAX($A$16:A34)+1," ")</f>
        <v xml:space="preserve"> </v>
      </c>
      <c r="B35" s="16"/>
      <c r="C35" s="17" t="s">
        <v>67</v>
      </c>
      <c r="D35" s="56" t="s">
        <v>68</v>
      </c>
      <c r="E35" s="56"/>
      <c r="F35" s="57"/>
      <c r="G35" s="56"/>
      <c r="H35" s="57"/>
    </row>
    <row r="36" spans="1:8" x14ac:dyDescent="0.2">
      <c r="A36" s="28" t="str">
        <f>IF(C36=0,MAX($A$16:A33)+1," ")</f>
        <v xml:space="preserve"> </v>
      </c>
      <c r="B36" s="29" t="s">
        <v>64</v>
      </c>
      <c r="C36" s="30" t="s">
        <v>69</v>
      </c>
      <c r="D36" s="54" t="s">
        <v>207</v>
      </c>
      <c r="E36" s="54"/>
      <c r="F36" s="55"/>
      <c r="G36" s="54"/>
      <c r="H36" s="55"/>
    </row>
    <row r="37" spans="1:8" x14ac:dyDescent="0.2">
      <c r="A37" s="23">
        <f>IF(C37=0,MAX($A$16:A33)+1," ")</f>
        <v>9</v>
      </c>
      <c r="B37" s="24"/>
      <c r="C37" s="25"/>
      <c r="D37" s="26" t="s">
        <v>70</v>
      </c>
      <c r="E37" s="25" t="s">
        <v>71</v>
      </c>
      <c r="F37" s="40">
        <f>51.2*2</f>
        <v>102.4</v>
      </c>
      <c r="G37" s="25"/>
      <c r="H37" s="77"/>
    </row>
    <row r="38" spans="1:8" x14ac:dyDescent="0.2">
      <c r="A38" s="28" t="str">
        <f>IF(C38=0,MAX($A$16:A35)+1," ")</f>
        <v xml:space="preserve"> </v>
      </c>
      <c r="B38" s="29" t="s">
        <v>64</v>
      </c>
      <c r="C38" s="30" t="s">
        <v>206</v>
      </c>
      <c r="D38" s="54" t="s">
        <v>92</v>
      </c>
      <c r="E38" s="54"/>
      <c r="F38" s="55"/>
      <c r="G38" s="54"/>
      <c r="H38" s="55"/>
    </row>
    <row r="39" spans="1:8" x14ac:dyDescent="0.2">
      <c r="A39" s="23">
        <f>IF(C39=0,MAX($A$16:A37)+1," ")</f>
        <v>10</v>
      </c>
      <c r="B39" s="24"/>
      <c r="C39" s="25"/>
      <c r="D39" s="26" t="s">
        <v>208</v>
      </c>
      <c r="E39" s="25" t="s">
        <v>71</v>
      </c>
      <c r="F39" s="40">
        <f>53.1+53.6</f>
        <v>106.7</v>
      </c>
      <c r="G39" s="25"/>
      <c r="H39" s="77"/>
    </row>
    <row r="40" spans="1:8" x14ac:dyDescent="0.2">
      <c r="A40" s="28" t="str">
        <f>IF(C40=0,MAX($A$16:A35)+1," ")</f>
        <v xml:space="preserve"> </v>
      </c>
      <c r="B40" s="29" t="s">
        <v>64</v>
      </c>
      <c r="C40" s="30" t="s">
        <v>73</v>
      </c>
      <c r="D40" s="54" t="s">
        <v>74</v>
      </c>
      <c r="E40" s="54"/>
      <c r="F40" s="55"/>
      <c r="G40" s="54"/>
      <c r="H40" s="55"/>
    </row>
    <row r="41" spans="1:8" x14ac:dyDescent="0.2">
      <c r="A41" s="23">
        <f>IF(C41=0,MAX($A$16:A39)+1," ")</f>
        <v>11</v>
      </c>
      <c r="B41" s="24"/>
      <c r="C41" s="25"/>
      <c r="D41" s="26" t="s">
        <v>209</v>
      </c>
      <c r="E41" s="25" t="s">
        <v>71</v>
      </c>
      <c r="F41" s="40">
        <v>58.3</v>
      </c>
      <c r="G41" s="25"/>
      <c r="H41" s="77"/>
    </row>
    <row r="42" spans="1:8" x14ac:dyDescent="0.2">
      <c r="A42" s="28" t="str">
        <f>IF(C42=0,MAX($A$16:A41)+1," ")</f>
        <v xml:space="preserve"> </v>
      </c>
      <c r="B42" s="29" t="s">
        <v>64</v>
      </c>
      <c r="C42" s="30" t="s">
        <v>130</v>
      </c>
      <c r="D42" s="54" t="s">
        <v>131</v>
      </c>
      <c r="E42" s="54"/>
      <c r="F42" s="55"/>
      <c r="G42" s="54"/>
      <c r="H42" s="55"/>
    </row>
    <row r="43" spans="1:8" x14ac:dyDescent="0.2">
      <c r="A43" s="23">
        <f>IF(C43=0,MAX($A$16:A41)+1," ")</f>
        <v>12</v>
      </c>
      <c r="B43" s="24"/>
      <c r="C43" s="25"/>
      <c r="D43" s="26" t="s">
        <v>132</v>
      </c>
      <c r="E43" s="25" t="s">
        <v>71</v>
      </c>
      <c r="F43" s="40">
        <f>3.125*2</f>
        <v>6.25</v>
      </c>
      <c r="G43" s="25"/>
      <c r="H43" s="77"/>
    </row>
    <row r="44" spans="1:8" x14ac:dyDescent="0.2">
      <c r="A44" s="23">
        <f>IF(C44=0,MAX($A$16:A43)+1," ")</f>
        <v>13</v>
      </c>
      <c r="B44" s="24"/>
      <c r="C44" s="25"/>
      <c r="D44" s="26" t="s">
        <v>197</v>
      </c>
      <c r="E44" s="25" t="s">
        <v>152</v>
      </c>
      <c r="F44" s="35">
        <v>50</v>
      </c>
      <c r="G44" s="25"/>
      <c r="H44" s="77"/>
    </row>
    <row r="45" spans="1:8" x14ac:dyDescent="0.2">
      <c r="A45" s="28" t="str">
        <f>IF(C45=0,MAX($A$16:A44)+1," ")</f>
        <v xml:space="preserve"> </v>
      </c>
      <c r="B45" s="29" t="s">
        <v>64</v>
      </c>
      <c r="C45" s="30" t="s">
        <v>80</v>
      </c>
      <c r="D45" s="54" t="s">
        <v>76</v>
      </c>
      <c r="E45" s="54"/>
      <c r="F45" s="55"/>
      <c r="G45" s="54"/>
      <c r="H45" s="55"/>
    </row>
    <row r="46" spans="1:8" x14ac:dyDescent="0.2">
      <c r="A46" s="23">
        <f>IF(C46=0,MAX($A$16:A44)+1," ")</f>
        <v>14</v>
      </c>
      <c r="B46" s="24"/>
      <c r="C46" s="25"/>
      <c r="D46" s="26" t="s">
        <v>214</v>
      </c>
      <c r="E46" s="25" t="s">
        <v>71</v>
      </c>
      <c r="F46" s="40">
        <f>12.85</f>
        <v>12.85</v>
      </c>
      <c r="G46" s="25"/>
      <c r="H46" s="77"/>
    </row>
    <row r="47" spans="1:8" x14ac:dyDescent="0.2">
      <c r="A47" s="15" t="str">
        <f>IF(C47=0,MAX($A$10:A46)+1," ")</f>
        <v xml:space="preserve"> </v>
      </c>
      <c r="B47" s="16"/>
      <c r="C47" s="17" t="s">
        <v>81</v>
      </c>
      <c r="D47" s="56" t="s">
        <v>78</v>
      </c>
      <c r="E47" s="56"/>
      <c r="F47" s="57"/>
      <c r="G47" s="56"/>
      <c r="H47" s="57"/>
    </row>
    <row r="48" spans="1:8" x14ac:dyDescent="0.2">
      <c r="A48" s="28" t="str">
        <f>IF(C48=0,MAX($A$10:A47)+1," ")</f>
        <v xml:space="preserve"> </v>
      </c>
      <c r="B48" s="29" t="s">
        <v>64</v>
      </c>
      <c r="C48" s="30" t="s">
        <v>82</v>
      </c>
      <c r="D48" s="54" t="s">
        <v>79</v>
      </c>
      <c r="E48" s="54"/>
      <c r="F48" s="55"/>
      <c r="G48" s="54"/>
      <c r="H48" s="55"/>
    </row>
    <row r="49" spans="1:8" x14ac:dyDescent="0.2">
      <c r="A49" s="23">
        <f>IF(C49=0,MAX($A$10:A47)+1," ")</f>
        <v>15</v>
      </c>
      <c r="B49" s="24"/>
      <c r="C49" s="25"/>
      <c r="D49" s="26" t="s">
        <v>91</v>
      </c>
      <c r="E49" s="25" t="s">
        <v>71</v>
      </c>
      <c r="F49" s="40">
        <f>54.5*0.15*2+36.7*0.15*2+36.7*0.05*2</f>
        <v>31.03</v>
      </c>
      <c r="G49" s="25"/>
      <c r="H49" s="77"/>
    </row>
    <row r="50" spans="1:8" x14ac:dyDescent="0.2">
      <c r="A50" s="15" t="str">
        <f>IF(C50=0,MAX($A$16:A43)+1," ")</f>
        <v xml:space="preserve"> </v>
      </c>
      <c r="B50" s="16"/>
      <c r="C50" s="17" t="s">
        <v>84</v>
      </c>
      <c r="D50" s="56" t="s">
        <v>83</v>
      </c>
      <c r="E50" s="56"/>
      <c r="F50" s="57"/>
      <c r="G50" s="56"/>
      <c r="H50" s="57"/>
    </row>
    <row r="51" spans="1:8" ht="12.75" customHeight="1" x14ac:dyDescent="0.2">
      <c r="A51" s="28" t="str">
        <f>IF(C51=0,MAX($A$16:A50)+1," ")</f>
        <v xml:space="preserve"> </v>
      </c>
      <c r="B51" s="29" t="s">
        <v>64</v>
      </c>
      <c r="C51" s="30" t="s">
        <v>143</v>
      </c>
      <c r="D51" s="54" t="s">
        <v>142</v>
      </c>
      <c r="E51" s="54"/>
      <c r="F51" s="55"/>
      <c r="G51" s="54"/>
      <c r="H51" s="55"/>
    </row>
    <row r="52" spans="1:8" ht="14.25" x14ac:dyDescent="0.2">
      <c r="A52" s="23">
        <f>IF(C52=0,MAX($A$16:A50)+1," ")</f>
        <v>16</v>
      </c>
      <c r="B52" s="24"/>
      <c r="C52" s="25"/>
      <c r="D52" s="26" t="s">
        <v>210</v>
      </c>
      <c r="E52" s="25" t="s">
        <v>144</v>
      </c>
      <c r="F52" s="35">
        <v>11</v>
      </c>
      <c r="G52" s="25"/>
      <c r="H52" s="77"/>
    </row>
    <row r="53" spans="1:8" x14ac:dyDescent="0.2">
      <c r="A53" s="28" t="str">
        <f>IF(C53=0,MAX($A$16:A52)+1," ")</f>
        <v xml:space="preserve"> </v>
      </c>
      <c r="B53" s="29" t="s">
        <v>64</v>
      </c>
      <c r="C53" s="30" t="s">
        <v>145</v>
      </c>
      <c r="D53" s="54" t="s">
        <v>146</v>
      </c>
      <c r="E53" s="54"/>
      <c r="F53" s="55"/>
      <c r="G53" s="54"/>
      <c r="H53" s="55"/>
    </row>
    <row r="54" spans="1:8" ht="18" customHeight="1" x14ac:dyDescent="0.2">
      <c r="A54" s="23">
        <f>IF(C54=0,MAX($A$16:A52)+1," ")</f>
        <v>17</v>
      </c>
      <c r="B54" s="24"/>
      <c r="C54" s="25"/>
      <c r="D54" s="26" t="s">
        <v>147</v>
      </c>
      <c r="E54" s="25" t="s">
        <v>8</v>
      </c>
      <c r="F54" s="40">
        <v>48</v>
      </c>
      <c r="G54" s="25"/>
      <c r="H54" s="77"/>
    </row>
    <row r="55" spans="1:8" s="10" customFormat="1" ht="15.75" x14ac:dyDescent="0.2">
      <c r="A55" s="12" t="str">
        <f>IF(C55=0,MAX(#REF!)+1," ")</f>
        <v xml:space="preserve"> </v>
      </c>
      <c r="B55" s="13"/>
      <c r="C55" s="14" t="s">
        <v>87</v>
      </c>
      <c r="D55" s="64" t="s">
        <v>88</v>
      </c>
      <c r="E55" s="64"/>
      <c r="F55" s="65"/>
      <c r="G55" s="64"/>
      <c r="H55" s="65"/>
    </row>
    <row r="56" spans="1:8" x14ac:dyDescent="0.2">
      <c r="A56" s="15" t="str">
        <f>IF(C56=0,MAX($A$16:A55)+1," ")</f>
        <v xml:space="preserve"> </v>
      </c>
      <c r="B56" s="16"/>
      <c r="C56" s="17" t="s">
        <v>89</v>
      </c>
      <c r="D56" s="56" t="s">
        <v>90</v>
      </c>
      <c r="E56" s="56"/>
      <c r="F56" s="57"/>
      <c r="G56" s="56"/>
      <c r="H56" s="57"/>
    </row>
    <row r="57" spans="1:8" x14ac:dyDescent="0.2">
      <c r="A57" s="28" t="str">
        <f>IF(C57=0,MAX($A$16:A56)+1," ")</f>
        <v xml:space="preserve"> </v>
      </c>
      <c r="B57" s="29" t="s">
        <v>64</v>
      </c>
      <c r="C57" s="30" t="s">
        <v>94</v>
      </c>
      <c r="D57" s="54" t="s">
        <v>93</v>
      </c>
      <c r="E57" s="54"/>
      <c r="F57" s="55"/>
      <c r="G57" s="54"/>
      <c r="H57" s="55"/>
    </row>
    <row r="58" spans="1:8" ht="18.75" customHeight="1" x14ac:dyDescent="0.2">
      <c r="A58" s="23">
        <f>IF(C58=0,MAX($A$16:A56)+1," ")</f>
        <v>18</v>
      </c>
      <c r="B58" s="24"/>
      <c r="C58" s="25"/>
      <c r="D58" s="26" t="s">
        <v>148</v>
      </c>
      <c r="E58" s="25" t="s">
        <v>106</v>
      </c>
      <c r="F58" s="40">
        <f>3.6*9.2*2+1.1*10.4*2+48.7*2+37.9*2+18*4+12*4+38*2</f>
        <v>458.32</v>
      </c>
      <c r="G58" s="25"/>
      <c r="H58" s="77"/>
    </row>
    <row r="59" spans="1:8" x14ac:dyDescent="0.2">
      <c r="A59" s="15" t="str">
        <f>IF(C59=0,MAX($A$16:A58)+1," ")</f>
        <v xml:space="preserve"> </v>
      </c>
      <c r="B59" s="16"/>
      <c r="C59" s="17" t="s">
        <v>96</v>
      </c>
      <c r="D59" s="56" t="s">
        <v>97</v>
      </c>
      <c r="E59" s="56"/>
      <c r="F59" s="57"/>
      <c r="G59" s="56"/>
      <c r="H59" s="57"/>
    </row>
    <row r="60" spans="1:8" x14ac:dyDescent="0.2">
      <c r="A60" s="28" t="str">
        <f>IF(C60=0,MAX($A$16:A59)+1," ")</f>
        <v xml:space="preserve"> </v>
      </c>
      <c r="B60" s="29" t="s">
        <v>64</v>
      </c>
      <c r="C60" s="30" t="s">
        <v>100</v>
      </c>
      <c r="D60" s="54" t="s">
        <v>98</v>
      </c>
      <c r="E60" s="54"/>
      <c r="F60" s="55"/>
      <c r="G60" s="54"/>
      <c r="H60" s="55"/>
    </row>
    <row r="61" spans="1:8" ht="14.25" customHeight="1" x14ac:dyDescent="0.2">
      <c r="A61" s="23">
        <f>IF(C61=0,MAX($A$16:A59)+1," ")</f>
        <v>19</v>
      </c>
      <c r="B61" s="24"/>
      <c r="C61" s="25"/>
      <c r="D61" s="26" t="s">
        <v>149</v>
      </c>
      <c r="E61" s="25" t="s">
        <v>106</v>
      </c>
      <c r="F61" s="40">
        <f>10.6*12.9</f>
        <v>136.74</v>
      </c>
      <c r="G61" s="25"/>
      <c r="H61" s="77"/>
    </row>
    <row r="62" spans="1:8" x14ac:dyDescent="0.2">
      <c r="A62" s="15" t="str">
        <f>IF(C62=0,MAX($A$16:A61)+1," ")</f>
        <v xml:space="preserve"> </v>
      </c>
      <c r="B62" s="16"/>
      <c r="C62" s="17" t="s">
        <v>101</v>
      </c>
      <c r="D62" s="56" t="s">
        <v>102</v>
      </c>
      <c r="E62" s="56"/>
      <c r="F62" s="57"/>
      <c r="G62" s="56"/>
      <c r="H62" s="57"/>
    </row>
    <row r="63" spans="1:8" x14ac:dyDescent="0.2">
      <c r="A63" s="28" t="str">
        <f>IF(C63=0,MAX($A$16:A62)+1," ")</f>
        <v xml:space="preserve"> </v>
      </c>
      <c r="B63" s="29" t="s">
        <v>64</v>
      </c>
      <c r="C63" s="30" t="s">
        <v>104</v>
      </c>
      <c r="D63" s="54" t="s">
        <v>103</v>
      </c>
      <c r="E63" s="54"/>
      <c r="F63" s="55"/>
      <c r="G63" s="54"/>
      <c r="H63" s="55"/>
    </row>
    <row r="64" spans="1:8" ht="15" customHeight="1" x14ac:dyDescent="0.2">
      <c r="A64" s="23">
        <f>IF(C64=0,MAX($A$16:A62)+1," ")</f>
        <v>20</v>
      </c>
      <c r="B64" s="24"/>
      <c r="C64" s="25"/>
      <c r="D64" s="26" t="s">
        <v>150</v>
      </c>
      <c r="E64" s="25" t="s">
        <v>106</v>
      </c>
      <c r="F64" s="40">
        <f>1.18*12.5*2+0.76*(5.4*2+5.5*2)</f>
        <v>46.067999999999998</v>
      </c>
      <c r="G64" s="25"/>
      <c r="H64" s="77"/>
    </row>
    <row r="65" spans="1:8" x14ac:dyDescent="0.2">
      <c r="A65" s="15" t="str">
        <f>IF(C65=0,MAX($A$16:A64)+1," ")</f>
        <v xml:space="preserve"> </v>
      </c>
      <c r="B65" s="16"/>
      <c r="C65" s="17" t="s">
        <v>107</v>
      </c>
      <c r="D65" s="56" t="s">
        <v>109</v>
      </c>
      <c r="E65" s="56"/>
      <c r="F65" s="57"/>
      <c r="G65" s="56"/>
      <c r="H65" s="57"/>
    </row>
    <row r="66" spans="1:8" x14ac:dyDescent="0.2">
      <c r="A66" s="28" t="str">
        <f>IF(C66=0,MAX($A$16:A65)+1," ")</f>
        <v xml:space="preserve"> </v>
      </c>
      <c r="B66" s="29" t="s">
        <v>64</v>
      </c>
      <c r="C66" s="30" t="s">
        <v>108</v>
      </c>
      <c r="D66" s="54" t="s">
        <v>110</v>
      </c>
      <c r="E66" s="54"/>
      <c r="F66" s="55"/>
      <c r="G66" s="54"/>
      <c r="H66" s="55"/>
    </row>
    <row r="67" spans="1:8" ht="15" customHeight="1" x14ac:dyDescent="0.2">
      <c r="A67" s="23">
        <f>IF(C67=0,MAX($A$16:A65)+1," ")</f>
        <v>21</v>
      </c>
      <c r="B67" s="24"/>
      <c r="C67" s="25"/>
      <c r="D67" s="26" t="s">
        <v>151</v>
      </c>
      <c r="E67" s="25" t="s">
        <v>106</v>
      </c>
      <c r="F67" s="40">
        <f>2.5*10.4*2+9.1*4+11.4*10.86</f>
        <v>212.20400000000001</v>
      </c>
      <c r="G67" s="25"/>
      <c r="H67" s="77"/>
    </row>
    <row r="68" spans="1:8" s="10" customFormat="1" ht="15.75" x14ac:dyDescent="0.2">
      <c r="A68" s="12" t="str">
        <f>IF(C68=0,MAX(#REF!)+1," ")</f>
        <v xml:space="preserve"> </v>
      </c>
      <c r="B68" s="13"/>
      <c r="C68" s="14" t="s">
        <v>112</v>
      </c>
      <c r="D68" s="64" t="s">
        <v>113</v>
      </c>
      <c r="E68" s="64"/>
      <c r="F68" s="65"/>
      <c r="G68" s="64"/>
      <c r="H68" s="65"/>
    </row>
    <row r="69" spans="1:8" x14ac:dyDescent="0.2">
      <c r="A69" s="28" t="str">
        <f>IF(C69=0,MAX($A$16:A66)+1," ")</f>
        <v xml:space="preserve"> </v>
      </c>
      <c r="B69" s="29" t="s">
        <v>64</v>
      </c>
      <c r="C69" s="30" t="s">
        <v>153</v>
      </c>
      <c r="D69" s="54" t="s">
        <v>154</v>
      </c>
      <c r="E69" s="54"/>
      <c r="F69" s="55"/>
      <c r="G69" s="54"/>
      <c r="H69" s="55"/>
    </row>
    <row r="70" spans="1:8" ht="18.75" customHeight="1" x14ac:dyDescent="0.2">
      <c r="A70" s="23">
        <f>IF(C70=0,MAX($A$19:A68)+1," ")</f>
        <v>22</v>
      </c>
      <c r="B70" s="24"/>
      <c r="C70" s="25"/>
      <c r="D70" s="26" t="s">
        <v>155</v>
      </c>
      <c r="E70" s="25" t="s">
        <v>8</v>
      </c>
      <c r="F70" s="40">
        <f>21.5*2+12.5*2+0.5*6*2</f>
        <v>74</v>
      </c>
      <c r="G70" s="25"/>
      <c r="H70" s="77"/>
    </row>
    <row r="71" spans="1:8" x14ac:dyDescent="0.2">
      <c r="A71" s="28" t="str">
        <f>IF(C71=0,MAX($A$16:A68)+1," ")</f>
        <v xml:space="preserve"> </v>
      </c>
      <c r="B71" s="29" t="s">
        <v>64</v>
      </c>
      <c r="C71" s="30" t="s">
        <v>198</v>
      </c>
      <c r="D71" s="54" t="s">
        <v>199</v>
      </c>
      <c r="E71" s="54"/>
      <c r="F71" s="55"/>
      <c r="G71" s="54"/>
      <c r="H71" s="55"/>
    </row>
    <row r="72" spans="1:8" ht="18.75" customHeight="1" x14ac:dyDescent="0.2">
      <c r="A72" s="23">
        <f>IF(C72=0,MAX($A$16:A70)+1," ")</f>
        <v>23</v>
      </c>
      <c r="B72" s="24"/>
      <c r="C72" s="25"/>
      <c r="D72" s="26" t="s">
        <v>114</v>
      </c>
      <c r="E72" s="25" t="s">
        <v>8</v>
      </c>
      <c r="F72" s="40">
        <v>40</v>
      </c>
      <c r="G72" s="25"/>
      <c r="H72" s="77"/>
    </row>
    <row r="73" spans="1:8" x14ac:dyDescent="0.2">
      <c r="A73" s="28" t="str">
        <f>IF(C73=0,MAX($A$16:A70)+1," ")</f>
        <v xml:space="preserve"> </v>
      </c>
      <c r="B73" s="29" t="s">
        <v>64</v>
      </c>
      <c r="C73" s="30" t="s">
        <v>215</v>
      </c>
      <c r="D73" s="54" t="s">
        <v>216</v>
      </c>
      <c r="E73" s="54"/>
      <c r="F73" s="55"/>
      <c r="G73" s="54"/>
      <c r="H73" s="55"/>
    </row>
    <row r="74" spans="1:8" ht="18.75" customHeight="1" x14ac:dyDescent="0.2">
      <c r="A74" s="23">
        <f>IF(C74=0,MAX($A$16:A72)+1," ")</f>
        <v>24</v>
      </c>
      <c r="B74" s="24"/>
      <c r="C74" s="25"/>
      <c r="D74" s="26" t="s">
        <v>217</v>
      </c>
      <c r="E74" s="25" t="s">
        <v>106</v>
      </c>
      <c r="F74" s="40">
        <f>3.6*9.2*2</f>
        <v>66.239999999999995</v>
      </c>
      <c r="G74" s="25"/>
      <c r="H74" s="77"/>
    </row>
    <row r="75" spans="1:8" x14ac:dyDescent="0.2">
      <c r="A75" s="28" t="str">
        <f>IF(C75=0,MAX($A$16:A72)+1," ")</f>
        <v xml:space="preserve"> </v>
      </c>
      <c r="B75" s="29" t="s">
        <v>64</v>
      </c>
      <c r="C75" s="30" t="s">
        <v>220</v>
      </c>
      <c r="D75" s="54" t="s">
        <v>221</v>
      </c>
      <c r="E75" s="54"/>
      <c r="F75" s="55"/>
      <c r="G75" s="54"/>
      <c r="H75" s="55"/>
    </row>
    <row r="76" spans="1:8" ht="18.75" customHeight="1" x14ac:dyDescent="0.2">
      <c r="A76" s="23">
        <f>IF(C76=0,MAX($A$16:A74)+1," ")</f>
        <v>25</v>
      </c>
      <c r="B76" s="24"/>
      <c r="C76" s="25"/>
      <c r="D76" s="26" t="s">
        <v>222</v>
      </c>
      <c r="E76" s="25" t="s">
        <v>8</v>
      </c>
      <c r="F76" s="40">
        <f>9.5*4</f>
        <v>38</v>
      </c>
      <c r="G76" s="25"/>
      <c r="H76" s="77"/>
    </row>
    <row r="77" spans="1:8" s="10" customFormat="1" ht="15.75" x14ac:dyDescent="0.2">
      <c r="A77" s="12" t="str">
        <f>IF(C77=0,MAX(#REF!)+1," ")</f>
        <v xml:space="preserve"> </v>
      </c>
      <c r="B77" s="13"/>
      <c r="C77" s="14" t="s">
        <v>156</v>
      </c>
      <c r="D77" s="64" t="s">
        <v>157</v>
      </c>
      <c r="E77" s="64"/>
      <c r="F77" s="65"/>
      <c r="G77" s="64"/>
      <c r="H77" s="65"/>
    </row>
    <row r="78" spans="1:8" ht="25.5" customHeight="1" x14ac:dyDescent="0.2">
      <c r="A78" s="28" t="str">
        <f>IF(C78=0,MAX($A$16:A71)+1," ")</f>
        <v xml:space="preserve"> </v>
      </c>
      <c r="B78" s="29" t="s">
        <v>64</v>
      </c>
      <c r="C78" s="30" t="s">
        <v>158</v>
      </c>
      <c r="D78" s="54" t="s">
        <v>258</v>
      </c>
      <c r="E78" s="54"/>
      <c r="F78" s="55"/>
      <c r="G78" s="54"/>
      <c r="H78" s="55"/>
    </row>
    <row r="79" spans="1:8" ht="18.75" customHeight="1" x14ac:dyDescent="0.2">
      <c r="A79" s="23">
        <f>IF(C79=0,MAX($A$16:A76)+1," ")</f>
        <v>26</v>
      </c>
      <c r="B79" s="24"/>
      <c r="C79" s="25"/>
      <c r="D79" s="26" t="s">
        <v>159</v>
      </c>
      <c r="E79" s="25" t="s">
        <v>106</v>
      </c>
      <c r="F79" s="35">
        <f>8*7*2</f>
        <v>112</v>
      </c>
      <c r="G79" s="25"/>
      <c r="H79" s="77"/>
    </row>
    <row r="80" spans="1:8" s="10" customFormat="1" ht="15.75" x14ac:dyDescent="0.2">
      <c r="A80" s="12" t="str">
        <f>IF(C80=0,MAX(#REF!)+1," ")</f>
        <v xml:space="preserve"> </v>
      </c>
      <c r="B80" s="13"/>
      <c r="C80" s="14" t="s">
        <v>121</v>
      </c>
      <c r="D80" s="64" t="s">
        <v>122</v>
      </c>
      <c r="E80" s="64"/>
      <c r="F80" s="65"/>
      <c r="G80" s="64"/>
      <c r="H80" s="65"/>
    </row>
    <row r="81" spans="1:8" x14ac:dyDescent="0.2">
      <c r="A81" s="28" t="str">
        <f>IF(C81=0,MAX($A$16:A78)+1," ")</f>
        <v xml:space="preserve"> </v>
      </c>
      <c r="B81" s="29" t="s">
        <v>64</v>
      </c>
      <c r="C81" s="30" t="s">
        <v>160</v>
      </c>
      <c r="D81" s="54" t="s">
        <v>161</v>
      </c>
      <c r="E81" s="54"/>
      <c r="F81" s="55"/>
      <c r="G81" s="54"/>
      <c r="H81" s="55"/>
    </row>
    <row r="82" spans="1:8" ht="15.75" customHeight="1" x14ac:dyDescent="0.2">
      <c r="A82" s="23">
        <f>IF(C82=0,MAX($A$16:A79)+1," ")</f>
        <v>27</v>
      </c>
      <c r="B82" s="24"/>
      <c r="C82" s="25"/>
      <c r="D82" s="26" t="s">
        <v>162</v>
      </c>
      <c r="E82" s="25" t="s">
        <v>8</v>
      </c>
      <c r="F82" s="40">
        <f>12.5*2</f>
        <v>25</v>
      </c>
      <c r="G82" s="25"/>
      <c r="H82" s="77"/>
    </row>
    <row r="83" spans="1:8" ht="15.75" customHeight="1" x14ac:dyDescent="0.2">
      <c r="A83" s="23">
        <f>IF(C83=0,MAX($A$16:A82)+1," ")</f>
        <v>28</v>
      </c>
      <c r="B83" s="24"/>
      <c r="C83" s="25"/>
      <c r="D83" s="26" t="s">
        <v>218</v>
      </c>
      <c r="E83" s="25" t="s">
        <v>8</v>
      </c>
      <c r="F83" s="40">
        <f>9*4</f>
        <v>36</v>
      </c>
      <c r="G83" s="25"/>
      <c r="H83" s="77"/>
    </row>
    <row r="84" spans="1:8" x14ac:dyDescent="0.2">
      <c r="A84" s="28" t="str">
        <f>IF(C84=0,MAX($A$16:A80)+1," ")</f>
        <v xml:space="preserve"> </v>
      </c>
      <c r="B84" s="29" t="s">
        <v>64</v>
      </c>
      <c r="C84" s="30" t="s">
        <v>163</v>
      </c>
      <c r="D84" s="54" t="s">
        <v>164</v>
      </c>
      <c r="E84" s="54"/>
      <c r="F84" s="55"/>
      <c r="G84" s="54"/>
      <c r="H84" s="55"/>
    </row>
    <row r="85" spans="1:8" ht="15.75" customHeight="1" x14ac:dyDescent="0.2">
      <c r="A85" s="23">
        <f>IF(C85=0,MAX($A$16:A83)+1," ")</f>
        <v>29</v>
      </c>
      <c r="B85" s="24"/>
      <c r="C85" s="25"/>
      <c r="D85" s="26" t="s">
        <v>165</v>
      </c>
      <c r="E85" s="25" t="s">
        <v>8</v>
      </c>
      <c r="F85" s="40">
        <v>44</v>
      </c>
      <c r="G85" s="25"/>
      <c r="H85" s="77"/>
    </row>
    <row r="86" spans="1:8" s="10" customFormat="1" ht="15.75" x14ac:dyDescent="0.2">
      <c r="A86" s="12" t="str">
        <f>IF(C86=0,MAX(#REF!)+1," ")</f>
        <v xml:space="preserve"> </v>
      </c>
      <c r="B86" s="13"/>
      <c r="C86" s="14" t="s">
        <v>23</v>
      </c>
      <c r="D86" s="61" t="s">
        <v>24</v>
      </c>
      <c r="E86" s="62"/>
      <c r="F86" s="63"/>
      <c r="G86" s="62"/>
      <c r="H86" s="63"/>
    </row>
    <row r="87" spans="1:8" x14ac:dyDescent="0.2">
      <c r="A87" s="15" t="str">
        <f>IF(C87=0,MAX($A$16:A86)+1," ")</f>
        <v xml:space="preserve"> </v>
      </c>
      <c r="B87" s="16"/>
      <c r="C87" s="17" t="s">
        <v>25</v>
      </c>
      <c r="D87" s="58" t="s">
        <v>24</v>
      </c>
      <c r="E87" s="59"/>
      <c r="F87" s="60"/>
      <c r="G87" s="59"/>
      <c r="H87" s="60"/>
    </row>
    <row r="88" spans="1:8" x14ac:dyDescent="0.2">
      <c r="A88" s="28" t="str">
        <f>IF(C88=0,MAX($A$10:A87)+1," ")</f>
        <v xml:space="preserve"> </v>
      </c>
      <c r="B88" s="29" t="s">
        <v>27</v>
      </c>
      <c r="C88" s="30" t="s">
        <v>26</v>
      </c>
      <c r="D88" s="54" t="s">
        <v>28</v>
      </c>
      <c r="E88" s="54"/>
      <c r="F88" s="55"/>
      <c r="G88" s="54"/>
      <c r="H88" s="55"/>
    </row>
    <row r="89" spans="1:8" s="18" customFormat="1" x14ac:dyDescent="0.2">
      <c r="A89" s="23">
        <f>IF(C89=0,MAX($A$10:A88)+1," ")</f>
        <v>30</v>
      </c>
      <c r="B89" s="31"/>
      <c r="C89" s="32"/>
      <c r="D89" s="26" t="s">
        <v>29</v>
      </c>
      <c r="E89" s="33" t="s">
        <v>8</v>
      </c>
      <c r="F89" s="40">
        <f>4.86*2</f>
        <v>9.7200000000000006</v>
      </c>
      <c r="G89" s="33"/>
      <c r="H89" s="77"/>
    </row>
    <row r="90" spans="1:8" x14ac:dyDescent="0.2">
      <c r="A90" s="28" t="str">
        <f>IF(C90=0,MAX($A$16:A87)+1," ")</f>
        <v xml:space="preserve"> </v>
      </c>
      <c r="B90" s="29" t="s">
        <v>27</v>
      </c>
      <c r="C90" s="30" t="s">
        <v>166</v>
      </c>
      <c r="D90" s="54" t="s">
        <v>167</v>
      </c>
      <c r="E90" s="54"/>
      <c r="F90" s="55"/>
      <c r="G90" s="54"/>
      <c r="H90" s="55"/>
    </row>
    <row r="91" spans="1:8" s="18" customFormat="1" ht="15.75" x14ac:dyDescent="0.2">
      <c r="A91" s="23">
        <f>IF(C91=0,MAX($A$16:A89)+1," ")</f>
        <v>31</v>
      </c>
      <c r="B91" s="31"/>
      <c r="C91" s="32"/>
      <c r="D91" s="34" t="s">
        <v>219</v>
      </c>
      <c r="E91" s="33" t="s">
        <v>22</v>
      </c>
      <c r="F91" s="27">
        <f>14.5*4+13*0.7*2+(7.5+4+5+6)*1</f>
        <v>98.7</v>
      </c>
      <c r="G91" s="33"/>
      <c r="H91" s="77"/>
    </row>
    <row r="92" spans="1:8" ht="39" customHeight="1" x14ac:dyDescent="0.2">
      <c r="A92" s="28" t="str">
        <f>IF(C92=0,MAX($A$16:A89)+1," ")</f>
        <v xml:space="preserve"> </v>
      </c>
      <c r="B92" s="29" t="s">
        <v>27</v>
      </c>
      <c r="C92" s="30" t="s">
        <v>200</v>
      </c>
      <c r="D92" s="54" t="s">
        <v>226</v>
      </c>
      <c r="E92" s="54"/>
      <c r="F92" s="55"/>
      <c r="G92" s="54"/>
      <c r="H92" s="55"/>
    </row>
    <row r="93" spans="1:8" s="18" customFormat="1" ht="15.75" x14ac:dyDescent="0.2">
      <c r="A93" s="23">
        <f>IF(C93=0,MAX($A$16:A91)+1," ")</f>
        <v>32</v>
      </c>
      <c r="B93" s="31"/>
      <c r="C93" s="32"/>
      <c r="D93" s="34" t="s">
        <v>227</v>
      </c>
      <c r="E93" s="33" t="s">
        <v>22</v>
      </c>
      <c r="F93" s="27">
        <f>45*4</f>
        <v>180</v>
      </c>
      <c r="G93" s="33"/>
      <c r="H93" s="77"/>
    </row>
    <row r="94" spans="1:8" x14ac:dyDescent="0.2">
      <c r="A94" s="15" t="str">
        <f>IF(C94=0,MAX($A$16:A91)+1," ")</f>
        <v xml:space="preserve"> </v>
      </c>
      <c r="B94" s="16"/>
      <c r="C94" s="17" t="s">
        <v>37</v>
      </c>
      <c r="D94" s="56" t="s">
        <v>38</v>
      </c>
      <c r="E94" s="56"/>
      <c r="F94" s="57"/>
      <c r="G94" s="56"/>
      <c r="H94" s="57"/>
    </row>
    <row r="95" spans="1:8" x14ac:dyDescent="0.2">
      <c r="A95" s="28" t="str">
        <f>IF(C95=0,MAX($A$16:A94)+1," ")</f>
        <v xml:space="preserve"> </v>
      </c>
      <c r="B95" s="29" t="s">
        <v>27</v>
      </c>
      <c r="C95" s="30" t="s">
        <v>41</v>
      </c>
      <c r="D95" s="54" t="s">
        <v>39</v>
      </c>
      <c r="E95" s="54"/>
      <c r="F95" s="55"/>
      <c r="G95" s="54"/>
      <c r="H95" s="55"/>
    </row>
    <row r="96" spans="1:8" s="18" customFormat="1" ht="15" customHeight="1" x14ac:dyDescent="0.2">
      <c r="A96" s="23">
        <f>IF(C96=0,MAX($A$16:A95)+1," ")</f>
        <v>33</v>
      </c>
      <c r="B96" s="31"/>
      <c r="C96" s="32"/>
      <c r="D96" s="26" t="s">
        <v>259</v>
      </c>
      <c r="E96" s="33" t="s">
        <v>40</v>
      </c>
      <c r="F96" s="35">
        <v>1</v>
      </c>
      <c r="G96" s="33"/>
      <c r="H96" s="77"/>
    </row>
    <row r="97" spans="1:8" x14ac:dyDescent="0.2">
      <c r="A97" s="28" t="str">
        <f>IF(C97=0,MAX($A$16:A96)+1," ")</f>
        <v xml:space="preserve"> </v>
      </c>
      <c r="B97" s="29" t="s">
        <v>27</v>
      </c>
      <c r="C97" s="30" t="s">
        <v>42</v>
      </c>
      <c r="D97" s="54" t="s">
        <v>43</v>
      </c>
      <c r="E97" s="54"/>
      <c r="F97" s="55"/>
      <c r="G97" s="54"/>
      <c r="H97" s="55"/>
    </row>
    <row r="98" spans="1:8" s="18" customFormat="1" ht="13.5" thickBot="1" x14ac:dyDescent="0.25">
      <c r="A98" s="71">
        <f>IF(C98=0,MAX($A$16:A97)+1," ")</f>
        <v>34</v>
      </c>
      <c r="B98" s="72"/>
      <c r="C98" s="73"/>
      <c r="D98" s="74" t="s">
        <v>43</v>
      </c>
      <c r="E98" s="75" t="s">
        <v>40</v>
      </c>
      <c r="F98" s="76">
        <v>1</v>
      </c>
      <c r="G98" s="33"/>
      <c r="H98" s="77"/>
    </row>
    <row r="99" spans="1:8" ht="21" customHeight="1" thickBot="1" x14ac:dyDescent="0.25">
      <c r="F99" s="109" t="s">
        <v>267</v>
      </c>
      <c r="G99" s="132"/>
      <c r="H99" s="133"/>
    </row>
    <row r="104" spans="1:8" s="7" customFormat="1" x14ac:dyDescent="0.2">
      <c r="A104" s="1"/>
      <c r="B104" s="2"/>
      <c r="C104" s="2"/>
      <c r="D104" s="39"/>
      <c r="F104" s="3"/>
      <c r="G104" s="2"/>
    </row>
  </sheetData>
  <mergeCells count="14">
    <mergeCell ref="A1:H1"/>
    <mergeCell ref="G6:H6"/>
    <mergeCell ref="G7:G8"/>
    <mergeCell ref="H7:H8"/>
    <mergeCell ref="G99:H99"/>
    <mergeCell ref="A6:A8"/>
    <mergeCell ref="B6:B8"/>
    <mergeCell ref="C6:C8"/>
    <mergeCell ref="D6:D8"/>
    <mergeCell ref="E6:F6"/>
    <mergeCell ref="E7:E8"/>
    <mergeCell ref="F7:F8"/>
    <mergeCell ref="A4:H4"/>
    <mergeCell ref="A3:H3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9" fitToHeight="58" orientation="portrait" useFirstPageNumber="1" r:id="rId1"/>
  <headerFooter alignWithMargins="0"/>
  <rowBreaks count="1" manualBreakCount="1">
    <brk id="7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41"/>
  <sheetViews>
    <sheetView view="pageBreakPreview" zoomScaleNormal="100" zoomScaleSheetLayoutView="100" workbookViewId="0">
      <selection activeCell="F36" sqref="F36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224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35"/>
      <c r="B8" s="128"/>
      <c r="C8" s="138"/>
      <c r="D8" s="138"/>
      <c r="E8" s="128"/>
      <c r="F8" s="130"/>
      <c r="G8" s="129"/>
      <c r="H8" s="131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66" t="str">
        <f>IF(C10=0,MAX(#REF!)+1," ")</f>
        <v xml:space="preserve"> </v>
      </c>
      <c r="B10" s="67"/>
      <c r="C10" s="68" t="s">
        <v>10</v>
      </c>
      <c r="D10" s="69" t="s">
        <v>11</v>
      </c>
      <c r="E10" s="69"/>
      <c r="F10" s="70"/>
      <c r="G10" s="69"/>
      <c r="H10" s="70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56" t="s">
        <v>13</v>
      </c>
      <c r="E11" s="56"/>
      <c r="F11" s="57"/>
      <c r="G11" s="56"/>
      <c r="H11" s="57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54" t="s">
        <v>19</v>
      </c>
      <c r="E12" s="54"/>
      <c r="F12" s="55"/>
      <c r="G12" s="54"/>
      <c r="H12" s="55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27">
        <f>101.63*17</f>
        <v>1727.71</v>
      </c>
      <c r="G13" s="25"/>
      <c r="H13" s="77"/>
    </row>
    <row r="14" spans="1:8" s="10" customFormat="1" ht="15.75" x14ac:dyDescent="0.2">
      <c r="A14" s="12" t="str">
        <f>IF(C14=0,MAX(#REF!)+1," ")</f>
        <v xml:space="preserve"> </v>
      </c>
      <c r="B14" s="13"/>
      <c r="C14" s="14" t="s">
        <v>121</v>
      </c>
      <c r="D14" s="64" t="s">
        <v>122</v>
      </c>
      <c r="E14" s="64"/>
      <c r="F14" s="65"/>
      <c r="G14" s="64"/>
      <c r="H14" s="65"/>
    </row>
    <row r="15" spans="1:8" x14ac:dyDescent="0.2">
      <c r="A15" s="28" t="str">
        <f>IF(C15=0,MAX($A$10:A14)+1," ")</f>
        <v xml:space="preserve"> </v>
      </c>
      <c r="B15" s="29" t="s">
        <v>64</v>
      </c>
      <c r="C15" s="30" t="s">
        <v>124</v>
      </c>
      <c r="D15" s="54" t="s">
        <v>123</v>
      </c>
      <c r="E15" s="54"/>
      <c r="F15" s="55"/>
      <c r="G15" s="54"/>
      <c r="H15" s="55"/>
    </row>
    <row r="16" spans="1:8" ht="15.75" customHeight="1" x14ac:dyDescent="0.2">
      <c r="A16" s="23">
        <f>IF(C16=0,MAX($A$10:A14)+1," ")</f>
        <v>2</v>
      </c>
      <c r="B16" s="24"/>
      <c r="C16" s="25"/>
      <c r="D16" s="26" t="s">
        <v>223</v>
      </c>
      <c r="E16" s="25" t="s">
        <v>63</v>
      </c>
      <c r="F16" s="40">
        <f>766.4*2</f>
        <v>1532.8</v>
      </c>
      <c r="G16" s="25"/>
      <c r="H16" s="77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4" t="s">
        <v>24</v>
      </c>
      <c r="E17" s="64"/>
      <c r="F17" s="65"/>
      <c r="G17" s="64"/>
      <c r="H17" s="65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56" t="s">
        <v>24</v>
      </c>
      <c r="E18" s="56"/>
      <c r="F18" s="57"/>
      <c r="G18" s="56"/>
      <c r="H18" s="57"/>
    </row>
    <row r="19" spans="1:8" x14ac:dyDescent="0.2">
      <c r="A19" s="28" t="str">
        <f>IF(C19=0,MAX($A$10:A13)+1," ")</f>
        <v xml:space="preserve"> </v>
      </c>
      <c r="B19" s="29" t="s">
        <v>27</v>
      </c>
      <c r="C19" s="30" t="s">
        <v>49</v>
      </c>
      <c r="D19" s="54" t="s">
        <v>50</v>
      </c>
      <c r="E19" s="54"/>
      <c r="F19" s="55"/>
      <c r="G19" s="54"/>
      <c r="H19" s="55"/>
    </row>
    <row r="20" spans="1:8" s="18" customFormat="1" ht="30.75" customHeight="1" x14ac:dyDescent="0.2">
      <c r="A20" s="23">
        <f>IF(C20=0,MAX($A$10:A19)+1," ")</f>
        <v>3</v>
      </c>
      <c r="B20" s="31"/>
      <c r="C20" s="32"/>
      <c r="D20" s="26" t="s">
        <v>51</v>
      </c>
      <c r="E20" s="33" t="s">
        <v>22</v>
      </c>
      <c r="F20" s="40">
        <f>65*2</f>
        <v>130</v>
      </c>
      <c r="G20" s="33"/>
      <c r="H20" s="77"/>
    </row>
    <row r="21" spans="1:8" x14ac:dyDescent="0.2">
      <c r="A21" s="28" t="str">
        <f>IF(C21=0,MAX($A$10:A18)+1," ")</f>
        <v xml:space="preserve"> </v>
      </c>
      <c r="B21" s="29" t="s">
        <v>27</v>
      </c>
      <c r="C21" s="30" t="s">
        <v>26</v>
      </c>
      <c r="D21" s="54" t="s">
        <v>28</v>
      </c>
      <c r="E21" s="54"/>
      <c r="F21" s="55"/>
      <c r="G21" s="54"/>
      <c r="H21" s="55"/>
    </row>
    <row r="22" spans="1:8" s="18" customFormat="1" x14ac:dyDescent="0.2">
      <c r="A22" s="23">
        <f>IF(C22=0,MAX($A$10:A21)+1," ")</f>
        <v>4</v>
      </c>
      <c r="B22" s="31"/>
      <c r="C22" s="32"/>
      <c r="D22" s="26" t="s">
        <v>29</v>
      </c>
      <c r="E22" s="33" t="s">
        <v>8</v>
      </c>
      <c r="F22" s="27">
        <f>4.93+5.74</f>
        <v>10.67</v>
      </c>
      <c r="G22" s="33"/>
      <c r="H22" s="77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32</v>
      </c>
      <c r="D23" s="54" t="s">
        <v>117</v>
      </c>
      <c r="E23" s="54"/>
      <c r="F23" s="55"/>
      <c r="G23" s="54"/>
      <c r="H23" s="55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31</v>
      </c>
      <c r="E24" s="33" t="s">
        <v>22</v>
      </c>
      <c r="F24" s="27">
        <f>1.8*24</f>
        <v>43.2</v>
      </c>
      <c r="G24" s="33"/>
      <c r="H24" s="77"/>
    </row>
    <row r="25" spans="1:8" s="18" customFormat="1" ht="25.5" x14ac:dyDescent="0.2">
      <c r="A25" s="23">
        <f>IF(C25=0,MAX($A$10:A24)+1," ")</f>
        <v>6</v>
      </c>
      <c r="B25" s="31"/>
      <c r="C25" s="32"/>
      <c r="D25" s="34" t="s">
        <v>120</v>
      </c>
      <c r="E25" s="33" t="s">
        <v>21</v>
      </c>
      <c r="F25" s="27">
        <f>22*0.5*0.5*4</f>
        <v>22</v>
      </c>
      <c r="G25" s="33"/>
      <c r="H25" s="77"/>
    </row>
    <row r="26" spans="1:8" x14ac:dyDescent="0.2">
      <c r="A26" s="15" t="str">
        <f>IF(C26=0,MAX($A$10:A24)+1," ")</f>
        <v xml:space="preserve"> </v>
      </c>
      <c r="B26" s="16"/>
      <c r="C26" s="17" t="s">
        <v>37</v>
      </c>
      <c r="D26" s="56" t="s">
        <v>38</v>
      </c>
      <c r="E26" s="56"/>
      <c r="F26" s="57"/>
      <c r="G26" s="56"/>
      <c r="H26" s="57"/>
    </row>
    <row r="27" spans="1:8" x14ac:dyDescent="0.2">
      <c r="A27" s="28" t="str">
        <f>IF(C27=0,MAX($A$10:A26)+1," ")</f>
        <v xml:space="preserve"> </v>
      </c>
      <c r="B27" s="29" t="s">
        <v>27</v>
      </c>
      <c r="C27" s="30" t="s">
        <v>41</v>
      </c>
      <c r="D27" s="54" t="s">
        <v>39</v>
      </c>
      <c r="E27" s="54"/>
      <c r="F27" s="55"/>
      <c r="G27" s="54"/>
      <c r="H27" s="55"/>
    </row>
    <row r="28" spans="1:8" s="18" customFormat="1" ht="25.5" customHeight="1" x14ac:dyDescent="0.2">
      <c r="A28" s="23">
        <f>IF(C28=0,MAX($A$10:A27)+1," ")</f>
        <v>7</v>
      </c>
      <c r="B28" s="31"/>
      <c r="C28" s="32"/>
      <c r="D28" s="26" t="s">
        <v>119</v>
      </c>
      <c r="E28" s="33" t="s">
        <v>40</v>
      </c>
      <c r="F28" s="35">
        <v>1</v>
      </c>
      <c r="G28" s="33"/>
      <c r="H28" s="77"/>
    </row>
    <row r="29" spans="1:8" x14ac:dyDescent="0.2">
      <c r="A29" s="28" t="str">
        <f>IF(C29=0,MAX($A$10:A28)+1," ")</f>
        <v xml:space="preserve"> </v>
      </c>
      <c r="B29" s="29" t="s">
        <v>27</v>
      </c>
      <c r="C29" s="30" t="s">
        <v>42</v>
      </c>
      <c r="D29" s="54" t="s">
        <v>43</v>
      </c>
      <c r="E29" s="54"/>
      <c r="F29" s="55"/>
      <c r="G29" s="54"/>
      <c r="H29" s="55"/>
    </row>
    <row r="30" spans="1:8" s="18" customFormat="1" x14ac:dyDescent="0.2">
      <c r="A30" s="23">
        <f>IF(C30=0,MAX($A$10:A29)+1," ")</f>
        <v>8</v>
      </c>
      <c r="B30" s="31"/>
      <c r="C30" s="32"/>
      <c r="D30" s="26" t="s">
        <v>43</v>
      </c>
      <c r="E30" s="33" t="s">
        <v>40</v>
      </c>
      <c r="F30" s="35">
        <v>1</v>
      </c>
      <c r="G30" s="33"/>
      <c r="H30" s="77"/>
    </row>
    <row r="31" spans="1:8" x14ac:dyDescent="0.2">
      <c r="A31" s="15" t="str">
        <f>IF(C31=0,MAX($A$10:A24)+1," ")</f>
        <v xml:space="preserve"> </v>
      </c>
      <c r="B31" s="16"/>
      <c r="C31" s="17" t="s">
        <v>33</v>
      </c>
      <c r="D31" s="56" t="s">
        <v>34</v>
      </c>
      <c r="E31" s="56"/>
      <c r="F31" s="57"/>
      <c r="G31" s="56"/>
      <c r="H31" s="57"/>
    </row>
    <row r="32" spans="1:8" x14ac:dyDescent="0.2">
      <c r="A32" s="28" t="str">
        <f>IF(C32=0,MAX($A$10:A31)+1," ")</f>
        <v xml:space="preserve"> </v>
      </c>
      <c r="B32" s="29" t="s">
        <v>9</v>
      </c>
      <c r="C32" s="30" t="s">
        <v>35</v>
      </c>
      <c r="D32" s="54" t="s">
        <v>36</v>
      </c>
      <c r="E32" s="54"/>
      <c r="F32" s="55"/>
      <c r="G32" s="54"/>
      <c r="H32" s="55"/>
    </row>
    <row r="33" spans="1:8" s="18" customFormat="1" ht="108.75" customHeight="1" x14ac:dyDescent="0.2">
      <c r="A33" s="23">
        <f>IF(C33=0,MAX($A$10:A32)+1," ")</f>
        <v>9</v>
      </c>
      <c r="B33" s="31"/>
      <c r="C33" s="32"/>
      <c r="D33" s="26" t="s">
        <v>44</v>
      </c>
      <c r="E33" s="33" t="s">
        <v>22</v>
      </c>
      <c r="F33" s="27">
        <f>10*15.4</f>
        <v>154</v>
      </c>
      <c r="G33" s="33"/>
      <c r="H33" s="77"/>
    </row>
    <row r="34" spans="1:8" s="18" customFormat="1" ht="25.5" x14ac:dyDescent="0.2">
      <c r="A34" s="23">
        <f>IF(C34=0,MAX($A$10:A33)+1," ")</f>
        <v>10</v>
      </c>
      <c r="B34" s="19"/>
      <c r="C34" s="20"/>
      <c r="D34" s="22" t="s">
        <v>45</v>
      </c>
      <c r="E34" s="21" t="s">
        <v>8</v>
      </c>
      <c r="F34" s="11">
        <v>14.4</v>
      </c>
      <c r="G34" s="21"/>
      <c r="H34" s="77"/>
    </row>
    <row r="35" spans="1:8" s="18" customFormat="1" ht="16.5" thickBot="1" x14ac:dyDescent="0.25">
      <c r="A35" s="71">
        <f>IF(C35=0,MAX($A$10:A34)+1," ")</f>
        <v>11</v>
      </c>
      <c r="B35" s="72"/>
      <c r="C35" s="73"/>
      <c r="D35" s="78" t="s">
        <v>46</v>
      </c>
      <c r="E35" s="75" t="s">
        <v>21</v>
      </c>
      <c r="F35" s="79">
        <f>101.63*13.6-9.37*13.6</f>
        <v>1254.7359999999999</v>
      </c>
      <c r="G35" s="33"/>
      <c r="H35" s="77"/>
    </row>
    <row r="36" spans="1:8" ht="21" customHeight="1" thickBot="1" x14ac:dyDescent="0.25">
      <c r="F36" s="109" t="s">
        <v>267</v>
      </c>
      <c r="G36" s="132"/>
      <c r="H36" s="133"/>
    </row>
    <row r="41" spans="1:8" x14ac:dyDescent="0.2">
      <c r="D41" s="39"/>
    </row>
  </sheetData>
  <mergeCells count="14">
    <mergeCell ref="G36:H36"/>
    <mergeCell ref="A6:A8"/>
    <mergeCell ref="B6:B8"/>
    <mergeCell ref="C6:C8"/>
    <mergeCell ref="D6:D8"/>
    <mergeCell ref="E6:F6"/>
    <mergeCell ref="E7:E8"/>
    <mergeCell ref="F7:F8"/>
    <mergeCell ref="A3:H3"/>
    <mergeCell ref="A1:H1"/>
    <mergeCell ref="A4:H4"/>
    <mergeCell ref="G6:H6"/>
    <mergeCell ref="G7:G8"/>
    <mergeCell ref="H7:H8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9" fitToHeight="58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7393D-5E88-4535-91C6-3B681F8AE448}">
  <sheetPr>
    <tabColor rgb="FF92D050"/>
  </sheetPr>
  <dimension ref="A1:H33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58.7109375" style="2" bestFit="1" customWidth="1"/>
    <col min="5" max="5" width="7.28515625" style="7" bestFit="1" customWidth="1"/>
    <col min="6" max="6" width="8.7109375" style="3" customWidth="1"/>
    <col min="7" max="7" width="12.7109375" style="2" customWidth="1"/>
    <col min="8" max="8" width="16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225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43"/>
      <c r="B8" s="129"/>
      <c r="C8" s="144"/>
      <c r="D8" s="144"/>
      <c r="E8" s="129"/>
      <c r="F8" s="131"/>
      <c r="G8" s="129"/>
      <c r="H8" s="131"/>
    </row>
    <row r="9" spans="1:8" ht="13.5" thickBot="1" x14ac:dyDescent="0.25">
      <c r="A9" s="80">
        <v>1</v>
      </c>
      <c r="B9" s="81">
        <v>2</v>
      </c>
      <c r="C9" s="81">
        <v>3</v>
      </c>
      <c r="D9" s="81">
        <v>4</v>
      </c>
      <c r="E9" s="81">
        <v>5</v>
      </c>
      <c r="F9" s="82">
        <v>6</v>
      </c>
      <c r="G9" s="81">
        <v>7</v>
      </c>
      <c r="H9" s="82">
        <v>8</v>
      </c>
    </row>
    <row r="10" spans="1:8" s="10" customFormat="1" ht="15.75" x14ac:dyDescent="0.2">
      <c r="A10" s="66" t="str">
        <f>IF(C10=0,MAX(#REF!)+1," ")</f>
        <v xml:space="preserve"> </v>
      </c>
      <c r="B10" s="67"/>
      <c r="C10" s="68" t="s">
        <v>10</v>
      </c>
      <c r="D10" s="69" t="s">
        <v>11</v>
      </c>
      <c r="E10" s="69"/>
      <c r="F10" s="70"/>
      <c r="G10" s="69"/>
      <c r="H10" s="70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56" t="s">
        <v>13</v>
      </c>
      <c r="E11" s="56"/>
      <c r="F11" s="57"/>
      <c r="G11" s="56"/>
      <c r="H11" s="57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54" t="s">
        <v>19</v>
      </c>
      <c r="E12" s="54"/>
      <c r="F12" s="55"/>
      <c r="G12" s="54"/>
      <c r="H12" s="55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27">
        <f>16.2*15.5</f>
        <v>251.1</v>
      </c>
      <c r="G13" s="25"/>
      <c r="H13" s="77"/>
    </row>
    <row r="14" spans="1:8" x14ac:dyDescent="0.2">
      <c r="A14" s="28" t="str">
        <f>IF(C14=0,MAX($A$10:A13)+1," ")</f>
        <v xml:space="preserve"> </v>
      </c>
      <c r="B14" s="29" t="s">
        <v>7</v>
      </c>
      <c r="C14" s="30" t="s">
        <v>53</v>
      </c>
      <c r="D14" s="54" t="s">
        <v>54</v>
      </c>
      <c r="E14" s="54"/>
      <c r="F14" s="55"/>
      <c r="G14" s="54"/>
      <c r="H14" s="55"/>
    </row>
    <row r="15" spans="1:8" ht="15.75" x14ac:dyDescent="0.2">
      <c r="A15" s="23">
        <f>IF(C15=0,MAX($A$10:A13)+1," ")</f>
        <v>2</v>
      </c>
      <c r="B15" s="24"/>
      <c r="C15" s="25"/>
      <c r="D15" s="26" t="s">
        <v>228</v>
      </c>
      <c r="E15" s="25" t="s">
        <v>21</v>
      </c>
      <c r="F15" s="27">
        <f>19.1*15.5</f>
        <v>296.05</v>
      </c>
      <c r="G15" s="25"/>
      <c r="H15" s="77"/>
    </row>
    <row r="16" spans="1:8" s="10" customFormat="1" ht="15.75" x14ac:dyDescent="0.2">
      <c r="A16" s="12" t="str">
        <f>IF(C16=0,MAX(#REF!)+1," ")</f>
        <v xml:space="preserve"> </v>
      </c>
      <c r="B16" s="13"/>
      <c r="C16" s="14" t="s">
        <v>121</v>
      </c>
      <c r="D16" s="64" t="s">
        <v>122</v>
      </c>
      <c r="E16" s="64"/>
      <c r="F16" s="65"/>
      <c r="G16" s="64"/>
      <c r="H16" s="65"/>
    </row>
    <row r="17" spans="1:8" x14ac:dyDescent="0.2">
      <c r="A17" s="28" t="str">
        <f>IF(C17=0,MAX($A$10:A16)+1," ")</f>
        <v xml:space="preserve"> </v>
      </c>
      <c r="B17" s="29" t="s">
        <v>64</v>
      </c>
      <c r="C17" s="30" t="s">
        <v>124</v>
      </c>
      <c r="D17" s="54" t="s">
        <v>123</v>
      </c>
      <c r="E17" s="54"/>
      <c r="F17" s="55"/>
      <c r="G17" s="54"/>
      <c r="H17" s="55"/>
    </row>
    <row r="18" spans="1:8" ht="15.75" customHeight="1" x14ac:dyDescent="0.2">
      <c r="A18" s="23">
        <f>IF(C18=0,MAX($A$10:A16)+1," ")</f>
        <v>3</v>
      </c>
      <c r="B18" s="24"/>
      <c r="C18" s="25"/>
      <c r="D18" s="26" t="s">
        <v>223</v>
      </c>
      <c r="E18" s="25" t="s">
        <v>63</v>
      </c>
      <c r="F18" s="40">
        <f>673.8</f>
        <v>673.8</v>
      </c>
      <c r="G18" s="25"/>
      <c r="H18" s="77"/>
    </row>
    <row r="19" spans="1:8" s="10" customFormat="1" ht="15.75" x14ac:dyDescent="0.2">
      <c r="A19" s="12" t="str">
        <f>IF(C19=0,MAX(#REF!)+1," ")</f>
        <v xml:space="preserve"> </v>
      </c>
      <c r="B19" s="13"/>
      <c r="C19" s="14" t="s">
        <v>23</v>
      </c>
      <c r="D19" s="64" t="s">
        <v>24</v>
      </c>
      <c r="E19" s="64"/>
      <c r="F19" s="65"/>
      <c r="G19" s="64"/>
      <c r="H19" s="65"/>
    </row>
    <row r="20" spans="1:8" x14ac:dyDescent="0.2">
      <c r="A20" s="15" t="str">
        <f>IF(C20=0,MAX($A$10:A19)+1," ")</f>
        <v xml:space="preserve"> </v>
      </c>
      <c r="B20" s="16"/>
      <c r="C20" s="17" t="s">
        <v>25</v>
      </c>
      <c r="D20" s="56" t="s">
        <v>24</v>
      </c>
      <c r="E20" s="56"/>
      <c r="F20" s="57"/>
      <c r="G20" s="56"/>
      <c r="H20" s="57"/>
    </row>
    <row r="21" spans="1:8" x14ac:dyDescent="0.2">
      <c r="A21" s="28" t="str">
        <f>IF(C21=0,MAX($A$10:A13)+1," ")</f>
        <v xml:space="preserve"> </v>
      </c>
      <c r="B21" s="29" t="s">
        <v>27</v>
      </c>
      <c r="C21" s="30" t="s">
        <v>49</v>
      </c>
      <c r="D21" s="54" t="s">
        <v>50</v>
      </c>
      <c r="E21" s="54"/>
      <c r="F21" s="55"/>
      <c r="G21" s="54"/>
      <c r="H21" s="55"/>
    </row>
    <row r="22" spans="1:8" s="18" customFormat="1" ht="30.75" customHeight="1" x14ac:dyDescent="0.2">
      <c r="A22" s="23">
        <f>IF(C22=0,MAX($A$10:A21)+1," ")</f>
        <v>4</v>
      </c>
      <c r="B22" s="31"/>
      <c r="C22" s="32"/>
      <c r="D22" s="26" t="s">
        <v>51</v>
      </c>
      <c r="E22" s="33" t="s">
        <v>22</v>
      </c>
      <c r="F22" s="40">
        <v>42.4</v>
      </c>
      <c r="G22" s="33"/>
      <c r="H22" s="77"/>
    </row>
    <row r="23" spans="1:8" ht="27.75" customHeight="1" x14ac:dyDescent="0.2">
      <c r="A23" s="28" t="str">
        <f>IF(C23=0,MAX($A$10:A22)+1," ")</f>
        <v xml:space="preserve"> </v>
      </c>
      <c r="B23" s="29" t="s">
        <v>27</v>
      </c>
      <c r="C23" s="30" t="s">
        <v>118</v>
      </c>
      <c r="D23" s="54" t="s">
        <v>115</v>
      </c>
      <c r="E23" s="54"/>
      <c r="F23" s="55"/>
      <c r="G23" s="54"/>
      <c r="H23" s="55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229</v>
      </c>
      <c r="E24" s="33" t="s">
        <v>22</v>
      </c>
      <c r="F24" s="27">
        <v>9.5</v>
      </c>
      <c r="G24" s="33"/>
      <c r="H24" s="77"/>
    </row>
    <row r="25" spans="1:8" x14ac:dyDescent="0.2">
      <c r="A25" s="15" t="str">
        <f>IF(C25=0,MAX($A$10:A22)+1," ")</f>
        <v xml:space="preserve"> </v>
      </c>
      <c r="B25" s="16"/>
      <c r="C25" s="17" t="s">
        <v>37</v>
      </c>
      <c r="D25" s="56" t="s">
        <v>38</v>
      </c>
      <c r="E25" s="56"/>
      <c r="F25" s="57"/>
      <c r="G25" s="56"/>
      <c r="H25" s="57"/>
    </row>
    <row r="26" spans="1:8" x14ac:dyDescent="0.2">
      <c r="A26" s="28" t="str">
        <f>IF(C26=0,MAX($A$10:A25)+1," ")</f>
        <v xml:space="preserve"> </v>
      </c>
      <c r="B26" s="29" t="s">
        <v>27</v>
      </c>
      <c r="C26" s="30" t="s">
        <v>42</v>
      </c>
      <c r="D26" s="54" t="s">
        <v>43</v>
      </c>
      <c r="E26" s="54"/>
      <c r="F26" s="55"/>
      <c r="G26" s="54"/>
      <c r="H26" s="55"/>
    </row>
    <row r="27" spans="1:8" s="18" customFormat="1" ht="13.5" thickBot="1" x14ac:dyDescent="0.25">
      <c r="A27" s="71">
        <f>IF(C27=0,MAX($A$10:A26)+1," ")</f>
        <v>6</v>
      </c>
      <c r="B27" s="72"/>
      <c r="C27" s="73"/>
      <c r="D27" s="74" t="s">
        <v>43</v>
      </c>
      <c r="E27" s="75" t="s">
        <v>40</v>
      </c>
      <c r="F27" s="76">
        <v>1</v>
      </c>
      <c r="G27" s="75"/>
      <c r="H27" s="83"/>
    </row>
    <row r="28" spans="1:8" ht="21" customHeight="1" thickBot="1" x14ac:dyDescent="0.25">
      <c r="F28" s="109" t="s">
        <v>267</v>
      </c>
      <c r="G28" s="141"/>
      <c r="H28" s="142"/>
    </row>
    <row r="33" spans="1:7" s="7" customFormat="1" x14ac:dyDescent="0.2">
      <c r="A33" s="1"/>
      <c r="B33" s="2"/>
      <c r="C33" s="2"/>
      <c r="D33" s="39"/>
      <c r="F33" s="3"/>
      <c r="G33" s="2"/>
    </row>
  </sheetData>
  <mergeCells count="14">
    <mergeCell ref="G28:H28"/>
    <mergeCell ref="A6:A8"/>
    <mergeCell ref="B6:B8"/>
    <mergeCell ref="C6:C8"/>
    <mergeCell ref="D6:D8"/>
    <mergeCell ref="E6:F6"/>
    <mergeCell ref="E7:E8"/>
    <mergeCell ref="F7:F8"/>
    <mergeCell ref="A3:H3"/>
    <mergeCell ref="A1:H1"/>
    <mergeCell ref="A4:H4"/>
    <mergeCell ref="G6:H6"/>
    <mergeCell ref="G7:G8"/>
    <mergeCell ref="H7:H8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72" fitToHeight="58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40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16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260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35"/>
      <c r="B8" s="128"/>
      <c r="C8" s="138"/>
      <c r="D8" s="138"/>
      <c r="E8" s="128"/>
      <c r="F8" s="130"/>
      <c r="G8" s="129"/>
      <c r="H8" s="131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66" t="str">
        <f>IF(C10=0,MAX(#REF!)+1," ")</f>
        <v xml:space="preserve"> </v>
      </c>
      <c r="B10" s="67"/>
      <c r="C10" s="68" t="s">
        <v>10</v>
      </c>
      <c r="D10" s="69" t="s">
        <v>11</v>
      </c>
      <c r="E10" s="69"/>
      <c r="F10" s="70"/>
      <c r="G10" s="69"/>
      <c r="H10" s="70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56" t="s">
        <v>13</v>
      </c>
      <c r="E11" s="56"/>
      <c r="F11" s="57"/>
      <c r="G11" s="56"/>
      <c r="H11" s="57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54" t="s">
        <v>19</v>
      </c>
      <c r="E12" s="54"/>
      <c r="F12" s="55"/>
      <c r="G12" s="54"/>
      <c r="H12" s="55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27">
        <f>60*51</f>
        <v>3060</v>
      </c>
      <c r="G13" s="25"/>
      <c r="H13" s="77"/>
    </row>
    <row r="14" spans="1:8" x14ac:dyDescent="0.2">
      <c r="A14" s="15" t="str">
        <f>IF(C14=0,MAX($A$10:A13)+1," ")</f>
        <v xml:space="preserve"> </v>
      </c>
      <c r="B14" s="16"/>
      <c r="C14" s="17" t="s">
        <v>14</v>
      </c>
      <c r="D14" s="56" t="s">
        <v>17</v>
      </c>
      <c r="E14" s="56"/>
      <c r="F14" s="57"/>
      <c r="G14" s="56"/>
      <c r="H14" s="57"/>
    </row>
    <row r="15" spans="1:8" x14ac:dyDescent="0.2">
      <c r="A15" s="28" t="str">
        <f>IF(C15=0,MAX($A$10:A14)+1," ")</f>
        <v xml:space="preserve"> </v>
      </c>
      <c r="B15" s="29" t="s">
        <v>7</v>
      </c>
      <c r="C15" s="30" t="s">
        <v>18</v>
      </c>
      <c r="D15" s="54" t="s">
        <v>127</v>
      </c>
      <c r="E15" s="54"/>
      <c r="F15" s="55"/>
      <c r="G15" s="54"/>
      <c r="H15" s="55"/>
    </row>
    <row r="16" spans="1:8" ht="15.75" x14ac:dyDescent="0.2">
      <c r="A16" s="23">
        <f>IF(C16=0,MAX($A$10:A14)+1," ")</f>
        <v>2</v>
      </c>
      <c r="B16" s="24"/>
      <c r="C16" s="25"/>
      <c r="D16" s="26" t="s">
        <v>129</v>
      </c>
      <c r="E16" s="25" t="s">
        <v>22</v>
      </c>
      <c r="F16" s="27">
        <f>6*(2*30.5+2*7.3)</f>
        <v>453.59999999999997</v>
      </c>
      <c r="G16" s="25"/>
      <c r="H16" s="77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4" t="s">
        <v>24</v>
      </c>
      <c r="E17" s="64"/>
      <c r="F17" s="65"/>
      <c r="G17" s="64"/>
      <c r="H17" s="65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56" t="s">
        <v>24</v>
      </c>
      <c r="E18" s="56"/>
      <c r="F18" s="57"/>
      <c r="G18" s="56"/>
      <c r="H18" s="57"/>
    </row>
    <row r="19" spans="1:8" x14ac:dyDescent="0.2">
      <c r="A19" s="28" t="str">
        <f>IF(C19=0,MAX($A$10:A18)+1," ")</f>
        <v xml:space="preserve"> </v>
      </c>
      <c r="B19" s="29" t="s">
        <v>27</v>
      </c>
      <c r="C19" s="30" t="s">
        <v>26</v>
      </c>
      <c r="D19" s="54" t="s">
        <v>28</v>
      </c>
      <c r="E19" s="54"/>
      <c r="F19" s="55"/>
      <c r="G19" s="54"/>
      <c r="H19" s="55"/>
    </row>
    <row r="20" spans="1:8" s="18" customFormat="1" x14ac:dyDescent="0.2">
      <c r="A20" s="23">
        <f>IF(C20=0,MAX($A$10:A19)+1," ")</f>
        <v>3</v>
      </c>
      <c r="B20" s="31"/>
      <c r="C20" s="32"/>
      <c r="D20" s="26" t="s">
        <v>29</v>
      </c>
      <c r="E20" s="33" t="s">
        <v>8</v>
      </c>
      <c r="F20" s="40">
        <f>5.2+6.28</f>
        <v>11.48</v>
      </c>
      <c r="G20" s="33"/>
      <c r="H20" s="77"/>
    </row>
    <row r="21" spans="1:8" ht="25.5" customHeight="1" x14ac:dyDescent="0.2">
      <c r="A21" s="28" t="str">
        <f>IF(C21=0,MAX($A$10:A20)+1," ")</f>
        <v xml:space="preserve"> </v>
      </c>
      <c r="B21" s="29" t="s">
        <v>27</v>
      </c>
      <c r="C21" s="30" t="s">
        <v>118</v>
      </c>
      <c r="D21" s="54" t="s">
        <v>115</v>
      </c>
      <c r="E21" s="54"/>
      <c r="F21" s="55"/>
      <c r="G21" s="54"/>
      <c r="H21" s="55"/>
    </row>
    <row r="22" spans="1:8" s="18" customFormat="1" ht="25.5" x14ac:dyDescent="0.2">
      <c r="A22" s="23">
        <f>IF(C22=0,MAX($A$10:A20)+1," ")</f>
        <v>4</v>
      </c>
      <c r="B22" s="31"/>
      <c r="C22" s="32"/>
      <c r="D22" s="34" t="s">
        <v>30</v>
      </c>
      <c r="E22" s="33" t="s">
        <v>22</v>
      </c>
      <c r="F22" s="27">
        <v>30</v>
      </c>
      <c r="G22" s="33"/>
      <c r="H22" s="77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32</v>
      </c>
      <c r="D23" s="54" t="s">
        <v>117</v>
      </c>
      <c r="E23" s="54"/>
      <c r="F23" s="55"/>
      <c r="G23" s="54"/>
      <c r="H23" s="55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31</v>
      </c>
      <c r="E24" s="33" t="s">
        <v>22</v>
      </c>
      <c r="F24" s="27">
        <f>4*35.7</f>
        <v>142.80000000000001</v>
      </c>
      <c r="G24" s="33"/>
      <c r="H24" s="77"/>
    </row>
    <row r="25" spans="1:8" x14ac:dyDescent="0.2">
      <c r="A25" s="15" t="str">
        <f>IF(C25=0,MAX($A$10:A24)+1," ")</f>
        <v xml:space="preserve"> </v>
      </c>
      <c r="B25" s="16"/>
      <c r="C25" s="17" t="s">
        <v>37</v>
      </c>
      <c r="D25" s="56" t="s">
        <v>38</v>
      </c>
      <c r="E25" s="56"/>
      <c r="F25" s="57"/>
      <c r="G25" s="56"/>
      <c r="H25" s="57"/>
    </row>
    <row r="26" spans="1:8" x14ac:dyDescent="0.2">
      <c r="A26" s="28" t="str">
        <f>IF(C26=0,MAX($A$10:A25)+1," ")</f>
        <v xml:space="preserve"> </v>
      </c>
      <c r="B26" s="29" t="s">
        <v>27</v>
      </c>
      <c r="C26" s="30" t="s">
        <v>41</v>
      </c>
      <c r="D26" s="54" t="s">
        <v>39</v>
      </c>
      <c r="E26" s="54"/>
      <c r="F26" s="55"/>
      <c r="G26" s="54"/>
      <c r="H26" s="55"/>
    </row>
    <row r="27" spans="1:8" s="18" customFormat="1" ht="26.25" customHeight="1" x14ac:dyDescent="0.2">
      <c r="A27" s="23">
        <f>IF(C27=0,MAX($A$10:A26)+1," ")</f>
        <v>6</v>
      </c>
      <c r="B27" s="31"/>
      <c r="C27" s="32"/>
      <c r="D27" s="26" t="s">
        <v>119</v>
      </c>
      <c r="E27" s="33" t="s">
        <v>40</v>
      </c>
      <c r="F27" s="35">
        <v>1</v>
      </c>
      <c r="G27" s="33"/>
      <c r="H27" s="77"/>
    </row>
    <row r="28" spans="1:8" x14ac:dyDescent="0.2">
      <c r="A28" s="28" t="str">
        <f>IF(C28=0,MAX($A$10:A27)+1," ")</f>
        <v xml:space="preserve"> </v>
      </c>
      <c r="B28" s="29" t="s">
        <v>27</v>
      </c>
      <c r="C28" s="30" t="s">
        <v>42</v>
      </c>
      <c r="D28" s="54" t="s">
        <v>43</v>
      </c>
      <c r="E28" s="54"/>
      <c r="F28" s="55"/>
      <c r="G28" s="54"/>
      <c r="H28" s="55"/>
    </row>
    <row r="29" spans="1:8" s="18" customFormat="1" x14ac:dyDescent="0.2">
      <c r="A29" s="23">
        <f>IF(C29=0,MAX($A$10:A28)+1," ")</f>
        <v>7</v>
      </c>
      <c r="B29" s="31"/>
      <c r="C29" s="32"/>
      <c r="D29" s="26" t="s">
        <v>43</v>
      </c>
      <c r="E29" s="33" t="s">
        <v>40</v>
      </c>
      <c r="F29" s="35">
        <v>1</v>
      </c>
      <c r="G29" s="33"/>
      <c r="H29" s="77"/>
    </row>
    <row r="30" spans="1:8" x14ac:dyDescent="0.2">
      <c r="A30" s="15" t="str">
        <f>IF(C30=0,MAX($A$10:A24)+1," ")</f>
        <v xml:space="preserve"> </v>
      </c>
      <c r="B30" s="16"/>
      <c r="C30" s="17" t="s">
        <v>33</v>
      </c>
      <c r="D30" s="56" t="s">
        <v>34</v>
      </c>
      <c r="E30" s="56"/>
      <c r="F30" s="57"/>
      <c r="G30" s="56"/>
      <c r="H30" s="57"/>
    </row>
    <row r="31" spans="1:8" x14ac:dyDescent="0.2">
      <c r="A31" s="28" t="str">
        <f>IF(C31=0,MAX($A$10:A30)+1," ")</f>
        <v xml:space="preserve"> </v>
      </c>
      <c r="B31" s="29" t="s">
        <v>9</v>
      </c>
      <c r="C31" s="30" t="s">
        <v>35</v>
      </c>
      <c r="D31" s="54" t="s">
        <v>36</v>
      </c>
      <c r="E31" s="54"/>
      <c r="F31" s="55"/>
      <c r="G31" s="54"/>
      <c r="H31" s="55"/>
    </row>
    <row r="32" spans="1:8" s="18" customFormat="1" ht="108.75" customHeight="1" x14ac:dyDescent="0.2">
      <c r="A32" s="23">
        <f>IF(C32=0,MAX($A$10:A31)+1," ")</f>
        <v>8</v>
      </c>
      <c r="B32" s="31"/>
      <c r="C32" s="32"/>
      <c r="D32" s="26" t="s">
        <v>44</v>
      </c>
      <c r="E32" s="33" t="s">
        <v>22</v>
      </c>
      <c r="F32" s="27">
        <f>6.7*30</f>
        <v>201</v>
      </c>
      <c r="G32" s="33"/>
      <c r="H32" s="77"/>
    </row>
    <row r="33" spans="1:8" s="18" customFormat="1" ht="25.5" x14ac:dyDescent="0.2">
      <c r="A33" s="23">
        <f>IF(C33=0,MAX($A$10:A32)+1," ")</f>
        <v>9</v>
      </c>
      <c r="B33" s="19"/>
      <c r="C33" s="20"/>
      <c r="D33" s="22" t="s">
        <v>45</v>
      </c>
      <c r="E33" s="21" t="s">
        <v>8</v>
      </c>
      <c r="F33" s="52">
        <v>27.73</v>
      </c>
      <c r="G33" s="21"/>
      <c r="H33" s="77"/>
    </row>
    <row r="34" spans="1:8" s="18" customFormat="1" ht="16.5" thickBot="1" x14ac:dyDescent="0.25">
      <c r="A34" s="71">
        <f>IF(C34=0,MAX($A$10:A33)+1," ")</f>
        <v>10</v>
      </c>
      <c r="B34" s="72"/>
      <c r="C34" s="73"/>
      <c r="D34" s="78" t="s">
        <v>46</v>
      </c>
      <c r="E34" s="75" t="s">
        <v>21</v>
      </c>
      <c r="F34" s="79">
        <f>60*25-11.3*25</f>
        <v>1217.5</v>
      </c>
      <c r="G34" s="33"/>
      <c r="H34" s="77"/>
    </row>
    <row r="35" spans="1:8" ht="21" customHeight="1" thickBot="1" x14ac:dyDescent="0.25">
      <c r="F35" s="109" t="s">
        <v>267</v>
      </c>
      <c r="G35" s="132"/>
      <c r="H35" s="133"/>
    </row>
    <row r="40" spans="1:8" s="7" customFormat="1" x14ac:dyDescent="0.2">
      <c r="A40" s="1"/>
      <c r="B40" s="2"/>
      <c r="C40" s="2"/>
      <c r="D40" s="39"/>
      <c r="F40" s="3"/>
      <c r="G40" s="2"/>
    </row>
  </sheetData>
  <mergeCells count="14">
    <mergeCell ref="G35:H35"/>
    <mergeCell ref="A6:A8"/>
    <mergeCell ref="B6:B8"/>
    <mergeCell ref="C6:C8"/>
    <mergeCell ref="D6:D8"/>
    <mergeCell ref="E6:F6"/>
    <mergeCell ref="E7:E8"/>
    <mergeCell ref="F7:F8"/>
    <mergeCell ref="A3:H3"/>
    <mergeCell ref="A1:H1"/>
    <mergeCell ref="A4:H4"/>
    <mergeCell ref="G6:H6"/>
    <mergeCell ref="G7:G8"/>
    <mergeCell ref="H7:H8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71" fitToHeight="58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427C8-7C83-416F-8AD7-C6FCE1A2F5E7}">
  <sheetPr>
    <tabColor rgb="FF92D050"/>
  </sheetPr>
  <dimension ref="A1:H40"/>
  <sheetViews>
    <sheetView view="pageBreakPreview" zoomScaleNormal="100" zoomScaleSheetLayoutView="100" workbookViewId="0">
      <selection activeCell="F35" sqref="F35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16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261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35"/>
      <c r="B8" s="128"/>
      <c r="C8" s="138"/>
      <c r="D8" s="138"/>
      <c r="E8" s="128"/>
      <c r="F8" s="130"/>
      <c r="G8" s="129"/>
      <c r="H8" s="131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66" t="str">
        <f>IF(C10=0,MAX(#REF!)+1," ")</f>
        <v xml:space="preserve"> </v>
      </c>
      <c r="B10" s="67"/>
      <c r="C10" s="68" t="s">
        <v>10</v>
      </c>
      <c r="D10" s="69" t="s">
        <v>11</v>
      </c>
      <c r="E10" s="69"/>
      <c r="F10" s="70"/>
      <c r="G10" s="69"/>
      <c r="H10" s="70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56" t="s">
        <v>13</v>
      </c>
      <c r="E11" s="56"/>
      <c r="F11" s="57"/>
      <c r="G11" s="56"/>
      <c r="H11" s="57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54" t="s">
        <v>19</v>
      </c>
      <c r="E12" s="54"/>
      <c r="F12" s="55"/>
      <c r="G12" s="54"/>
      <c r="H12" s="55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27">
        <f>38.5*16.5</f>
        <v>635.25</v>
      </c>
      <c r="G13" s="25"/>
      <c r="H13" s="77"/>
    </row>
    <row r="14" spans="1:8" x14ac:dyDescent="0.2">
      <c r="A14" s="15" t="str">
        <f>IF(C14=0,MAX($A$10:A13)+1," ")</f>
        <v xml:space="preserve"> </v>
      </c>
      <c r="B14" s="16"/>
      <c r="C14" s="17" t="s">
        <v>14</v>
      </c>
      <c r="D14" s="56" t="s">
        <v>17</v>
      </c>
      <c r="E14" s="56"/>
      <c r="F14" s="57"/>
      <c r="G14" s="56"/>
      <c r="H14" s="57"/>
    </row>
    <row r="15" spans="1:8" x14ac:dyDescent="0.2">
      <c r="A15" s="28" t="str">
        <f>IF(C15=0,MAX($A$10:A14)+1," ")</f>
        <v xml:space="preserve"> </v>
      </c>
      <c r="B15" s="29" t="s">
        <v>7</v>
      </c>
      <c r="C15" s="30" t="s">
        <v>18</v>
      </c>
      <c r="D15" s="54" t="s">
        <v>127</v>
      </c>
      <c r="E15" s="54"/>
      <c r="F15" s="55"/>
      <c r="G15" s="54"/>
      <c r="H15" s="55"/>
    </row>
    <row r="16" spans="1:8" ht="15.75" x14ac:dyDescent="0.2">
      <c r="A16" s="23">
        <f>IF(C16=0,MAX($A$10:A14)+1," ")</f>
        <v>2</v>
      </c>
      <c r="B16" s="24"/>
      <c r="C16" s="25"/>
      <c r="D16" s="26" t="s">
        <v>129</v>
      </c>
      <c r="E16" s="25" t="s">
        <v>22</v>
      </c>
      <c r="F16" s="27">
        <f>6*(2*27.7+2*6.25)</f>
        <v>407.40000000000003</v>
      </c>
      <c r="G16" s="25"/>
      <c r="H16" s="77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4" t="s">
        <v>24</v>
      </c>
      <c r="E17" s="64"/>
      <c r="F17" s="65"/>
      <c r="G17" s="64"/>
      <c r="H17" s="65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56" t="s">
        <v>24</v>
      </c>
      <c r="E18" s="56"/>
      <c r="F18" s="57"/>
      <c r="G18" s="56"/>
      <c r="H18" s="57"/>
    </row>
    <row r="19" spans="1:8" x14ac:dyDescent="0.2">
      <c r="A19" s="28" t="str">
        <f>IF(C19=0,MAX($A$10:A18)+1," ")</f>
        <v xml:space="preserve"> </v>
      </c>
      <c r="B19" s="29" t="s">
        <v>27</v>
      </c>
      <c r="C19" s="30" t="s">
        <v>26</v>
      </c>
      <c r="D19" s="54" t="s">
        <v>28</v>
      </c>
      <c r="E19" s="54"/>
      <c r="F19" s="55"/>
      <c r="G19" s="54"/>
      <c r="H19" s="55"/>
    </row>
    <row r="20" spans="1:8" s="18" customFormat="1" x14ac:dyDescent="0.2">
      <c r="A20" s="23">
        <f>IF(C20=0,MAX($A$10:A19)+1," ")</f>
        <v>3</v>
      </c>
      <c r="B20" s="31"/>
      <c r="C20" s="32"/>
      <c r="D20" s="26" t="s">
        <v>29</v>
      </c>
      <c r="E20" s="33" t="s">
        <v>8</v>
      </c>
      <c r="F20" s="40">
        <f>3.85+4.39</f>
        <v>8.24</v>
      </c>
      <c r="G20" s="33"/>
      <c r="H20" s="77"/>
    </row>
    <row r="21" spans="1:8" ht="25.5" customHeight="1" x14ac:dyDescent="0.2">
      <c r="A21" s="28" t="str">
        <f>IF(C21=0,MAX($A$10:A20)+1," ")</f>
        <v xml:space="preserve"> </v>
      </c>
      <c r="B21" s="29" t="s">
        <v>27</v>
      </c>
      <c r="C21" s="30" t="s">
        <v>118</v>
      </c>
      <c r="D21" s="54" t="s">
        <v>115</v>
      </c>
      <c r="E21" s="54"/>
      <c r="F21" s="55"/>
      <c r="G21" s="54"/>
      <c r="H21" s="55"/>
    </row>
    <row r="22" spans="1:8" s="18" customFormat="1" ht="25.5" x14ac:dyDescent="0.2">
      <c r="A22" s="23">
        <f>IF(C22=0,MAX($A$10:A20)+1," ")</f>
        <v>4</v>
      </c>
      <c r="B22" s="31"/>
      <c r="C22" s="32"/>
      <c r="D22" s="34" t="s">
        <v>30</v>
      </c>
      <c r="E22" s="33" t="s">
        <v>22</v>
      </c>
      <c r="F22" s="27">
        <v>24</v>
      </c>
      <c r="G22" s="33"/>
      <c r="H22" s="77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32</v>
      </c>
      <c r="D23" s="54" t="s">
        <v>117</v>
      </c>
      <c r="E23" s="54"/>
      <c r="F23" s="55"/>
      <c r="G23" s="54"/>
      <c r="H23" s="55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31</v>
      </c>
      <c r="E24" s="33" t="s">
        <v>22</v>
      </c>
      <c r="F24" s="27">
        <f>3*30</f>
        <v>90</v>
      </c>
      <c r="G24" s="33"/>
      <c r="H24" s="77"/>
    </row>
    <row r="25" spans="1:8" x14ac:dyDescent="0.2">
      <c r="A25" s="15" t="str">
        <f>IF(C25=0,MAX($A$10:A24)+1," ")</f>
        <v xml:space="preserve"> </v>
      </c>
      <c r="B25" s="16"/>
      <c r="C25" s="17" t="s">
        <v>37</v>
      </c>
      <c r="D25" s="56" t="s">
        <v>38</v>
      </c>
      <c r="E25" s="56"/>
      <c r="F25" s="57"/>
      <c r="G25" s="56"/>
      <c r="H25" s="57"/>
    </row>
    <row r="26" spans="1:8" x14ac:dyDescent="0.2">
      <c r="A26" s="28" t="str">
        <f>IF(C26=0,MAX($A$10:A25)+1," ")</f>
        <v xml:space="preserve"> </v>
      </c>
      <c r="B26" s="29" t="s">
        <v>27</v>
      </c>
      <c r="C26" s="30" t="s">
        <v>41</v>
      </c>
      <c r="D26" s="54" t="s">
        <v>39</v>
      </c>
      <c r="E26" s="54"/>
      <c r="F26" s="55"/>
      <c r="G26" s="54"/>
      <c r="H26" s="55"/>
    </row>
    <row r="27" spans="1:8" s="18" customFormat="1" ht="26.25" customHeight="1" x14ac:dyDescent="0.2">
      <c r="A27" s="23">
        <f>IF(C27=0,MAX($A$10:A26)+1," ")</f>
        <v>6</v>
      </c>
      <c r="B27" s="31"/>
      <c r="C27" s="32"/>
      <c r="D27" s="26" t="s">
        <v>119</v>
      </c>
      <c r="E27" s="33" t="s">
        <v>40</v>
      </c>
      <c r="F27" s="35">
        <v>1</v>
      </c>
      <c r="G27" s="33"/>
      <c r="H27" s="77"/>
    </row>
    <row r="28" spans="1:8" x14ac:dyDescent="0.2">
      <c r="A28" s="28" t="str">
        <f>IF(C28=0,MAX($A$10:A27)+1," ")</f>
        <v xml:space="preserve"> </v>
      </c>
      <c r="B28" s="29" t="s">
        <v>27</v>
      </c>
      <c r="C28" s="30" t="s">
        <v>42</v>
      </c>
      <c r="D28" s="54" t="s">
        <v>43</v>
      </c>
      <c r="E28" s="54"/>
      <c r="F28" s="55"/>
      <c r="G28" s="54"/>
      <c r="H28" s="55"/>
    </row>
    <row r="29" spans="1:8" s="18" customFormat="1" x14ac:dyDescent="0.2">
      <c r="A29" s="23">
        <f>IF(C29=0,MAX($A$10:A28)+1," ")</f>
        <v>7</v>
      </c>
      <c r="B29" s="31"/>
      <c r="C29" s="32"/>
      <c r="D29" s="26" t="s">
        <v>43</v>
      </c>
      <c r="E29" s="33" t="s">
        <v>40</v>
      </c>
      <c r="F29" s="35">
        <v>1</v>
      </c>
      <c r="G29" s="33"/>
      <c r="H29" s="77"/>
    </row>
    <row r="30" spans="1:8" x14ac:dyDescent="0.2">
      <c r="A30" s="15" t="str">
        <f>IF(C30=0,MAX($A$10:A24)+1," ")</f>
        <v xml:space="preserve"> </v>
      </c>
      <c r="B30" s="16"/>
      <c r="C30" s="17" t="s">
        <v>33</v>
      </c>
      <c r="D30" s="56" t="s">
        <v>34</v>
      </c>
      <c r="E30" s="56"/>
      <c r="F30" s="57"/>
      <c r="G30" s="56"/>
      <c r="H30" s="57"/>
    </row>
    <row r="31" spans="1:8" x14ac:dyDescent="0.2">
      <c r="A31" s="28" t="str">
        <f>IF(C31=0,MAX($A$10:A30)+1," ")</f>
        <v xml:space="preserve"> </v>
      </c>
      <c r="B31" s="29" t="s">
        <v>9</v>
      </c>
      <c r="C31" s="30" t="s">
        <v>35</v>
      </c>
      <c r="D31" s="54" t="s">
        <v>36</v>
      </c>
      <c r="E31" s="54"/>
      <c r="F31" s="55"/>
      <c r="G31" s="54"/>
      <c r="H31" s="55"/>
    </row>
    <row r="32" spans="1:8" s="18" customFormat="1" ht="108.75" customHeight="1" x14ac:dyDescent="0.2">
      <c r="A32" s="23">
        <f>IF(C32=0,MAX($A$10:A31)+1," ")</f>
        <v>8</v>
      </c>
      <c r="B32" s="31"/>
      <c r="C32" s="32"/>
      <c r="D32" s="26" t="s">
        <v>44</v>
      </c>
      <c r="E32" s="33" t="s">
        <v>22</v>
      </c>
      <c r="F32" s="27">
        <f>5.75*27.2</f>
        <v>156.4</v>
      </c>
      <c r="G32" s="33"/>
      <c r="H32" s="77"/>
    </row>
    <row r="33" spans="1:8" s="18" customFormat="1" ht="25.5" x14ac:dyDescent="0.2">
      <c r="A33" s="23">
        <f>IF(C33=0,MAX($A$10:A32)+1," ")</f>
        <v>9</v>
      </c>
      <c r="B33" s="19"/>
      <c r="C33" s="20"/>
      <c r="D33" s="22" t="s">
        <v>45</v>
      </c>
      <c r="E33" s="21" t="s">
        <v>8</v>
      </c>
      <c r="F33" s="52">
        <v>25.2</v>
      </c>
      <c r="G33" s="21"/>
      <c r="H33" s="77"/>
    </row>
    <row r="34" spans="1:8" s="18" customFormat="1" ht="16.5" thickBot="1" x14ac:dyDescent="0.25">
      <c r="A34" s="71">
        <f>IF(C34=0,MAX($A$10:A33)+1," ")</f>
        <v>10</v>
      </c>
      <c r="B34" s="72"/>
      <c r="C34" s="73"/>
      <c r="D34" s="78" t="s">
        <v>46</v>
      </c>
      <c r="E34" s="75" t="s">
        <v>21</v>
      </c>
      <c r="F34" s="79">
        <f>36.6*25.2-7.78*25.2</f>
        <v>726.26400000000001</v>
      </c>
      <c r="G34" s="33"/>
      <c r="H34" s="77"/>
    </row>
    <row r="35" spans="1:8" ht="21" customHeight="1" thickBot="1" x14ac:dyDescent="0.25">
      <c r="F35" s="109" t="s">
        <v>267</v>
      </c>
      <c r="G35" s="132"/>
      <c r="H35" s="133"/>
    </row>
    <row r="40" spans="1:8" s="7" customFormat="1" x14ac:dyDescent="0.2">
      <c r="A40" s="1"/>
      <c r="B40" s="2"/>
      <c r="C40" s="2"/>
      <c r="D40" s="39"/>
      <c r="F40" s="3"/>
      <c r="G40" s="2"/>
    </row>
  </sheetData>
  <mergeCells count="14">
    <mergeCell ref="A1:H1"/>
    <mergeCell ref="G6:H6"/>
    <mergeCell ref="G7:G8"/>
    <mergeCell ref="H7:H8"/>
    <mergeCell ref="G35:H35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71" fitToHeight="58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191B4-67AE-4C48-856E-1CAE6296FC4D}">
  <sheetPr>
    <tabColor rgb="FF92D050"/>
  </sheetPr>
  <dimension ref="A1:H74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425781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16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262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43"/>
      <c r="B8" s="129"/>
      <c r="C8" s="144"/>
      <c r="D8" s="144"/>
      <c r="E8" s="129"/>
      <c r="F8" s="131"/>
      <c r="G8" s="129"/>
      <c r="H8" s="131"/>
    </row>
    <row r="9" spans="1:8" ht="13.5" thickBot="1" x14ac:dyDescent="0.25">
      <c r="A9" s="89">
        <v>1</v>
      </c>
      <c r="B9" s="90">
        <v>2</v>
      </c>
      <c r="C9" s="90">
        <v>3</v>
      </c>
      <c r="D9" s="90">
        <v>4</v>
      </c>
      <c r="E9" s="90">
        <v>5</v>
      </c>
      <c r="F9" s="91">
        <v>6</v>
      </c>
      <c r="G9" s="90">
        <v>7</v>
      </c>
      <c r="H9" s="91">
        <v>8</v>
      </c>
    </row>
    <row r="10" spans="1:8" s="10" customFormat="1" ht="15.75" x14ac:dyDescent="0.2">
      <c r="A10" s="84" t="str">
        <f>IF(C10=0,MAX(#REF!)+1," ")</f>
        <v xml:space="preserve"> </v>
      </c>
      <c r="B10" s="85"/>
      <c r="C10" s="86" t="s">
        <v>10</v>
      </c>
      <c r="D10" s="87" t="s">
        <v>11</v>
      </c>
      <c r="E10" s="87"/>
      <c r="F10" s="88"/>
      <c r="G10" s="87"/>
      <c r="H10" s="88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56" t="s">
        <v>13</v>
      </c>
      <c r="E11" s="56"/>
      <c r="F11" s="57"/>
      <c r="G11" s="56"/>
      <c r="H11" s="57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54" t="s">
        <v>19</v>
      </c>
      <c r="E12" s="54"/>
      <c r="F12" s="55"/>
      <c r="G12" s="54"/>
      <c r="H12" s="55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27">
        <f>40.4*16</f>
        <v>646.4</v>
      </c>
      <c r="G13" s="25"/>
      <c r="H13" s="77"/>
    </row>
    <row r="14" spans="1:8" x14ac:dyDescent="0.2">
      <c r="A14" s="28" t="str">
        <f>IF(C14=0,MAX($A$10:A11)+1," ")</f>
        <v xml:space="preserve"> </v>
      </c>
      <c r="B14" s="29" t="s">
        <v>7</v>
      </c>
      <c r="C14" s="30" t="s">
        <v>53</v>
      </c>
      <c r="D14" s="54" t="s">
        <v>54</v>
      </c>
      <c r="E14" s="54"/>
      <c r="F14" s="55"/>
      <c r="G14" s="54"/>
      <c r="H14" s="55"/>
    </row>
    <row r="15" spans="1:8" ht="15.75" x14ac:dyDescent="0.2">
      <c r="A15" s="23">
        <f>IF(C15=0,MAX($A$10:A13)+1," ")</f>
        <v>2</v>
      </c>
      <c r="B15" s="24"/>
      <c r="C15" s="25"/>
      <c r="D15" s="26" t="s">
        <v>55</v>
      </c>
      <c r="E15" s="25" t="s">
        <v>21</v>
      </c>
      <c r="F15" s="27">
        <f>646.4-10.7*13-0.4*4.8*18.3</f>
        <v>472.16399999999993</v>
      </c>
      <c r="G15" s="25"/>
      <c r="H15" s="77"/>
    </row>
    <row r="16" spans="1:8" x14ac:dyDescent="0.2">
      <c r="A16" s="28" t="str">
        <f>IF(C16=0,MAX($A$10:A13)+1," ")</f>
        <v xml:space="preserve"> </v>
      </c>
      <c r="B16" s="29" t="s">
        <v>7</v>
      </c>
      <c r="C16" s="30" t="s">
        <v>47</v>
      </c>
      <c r="D16" s="54" t="s">
        <v>48</v>
      </c>
      <c r="E16" s="54"/>
      <c r="F16" s="55"/>
      <c r="G16" s="54"/>
      <c r="H16" s="55"/>
    </row>
    <row r="17" spans="1:8" ht="25.5" x14ac:dyDescent="0.2">
      <c r="A17" s="23">
        <f>IF(C17=0,MAX($A$10:A15)+1," ")</f>
        <v>3</v>
      </c>
      <c r="B17" s="24"/>
      <c r="C17" s="25"/>
      <c r="D17" s="26" t="s">
        <v>52</v>
      </c>
      <c r="E17" s="25" t="s">
        <v>21</v>
      </c>
      <c r="F17" s="27">
        <f>0.4*4.8*18.3</f>
        <v>35.136000000000003</v>
      </c>
      <c r="G17" s="25"/>
      <c r="H17" s="77"/>
    </row>
    <row r="18" spans="1:8" x14ac:dyDescent="0.2">
      <c r="A18" s="15" t="str">
        <f>IF(C18=0,MAX($A$10:A13)+1," ")</f>
        <v xml:space="preserve"> </v>
      </c>
      <c r="B18" s="16"/>
      <c r="C18" s="17" t="s">
        <v>14</v>
      </c>
      <c r="D18" s="56" t="s">
        <v>17</v>
      </c>
      <c r="E18" s="56"/>
      <c r="F18" s="57"/>
      <c r="G18" s="56"/>
      <c r="H18" s="57"/>
    </row>
    <row r="19" spans="1:8" x14ac:dyDescent="0.2">
      <c r="A19" s="28" t="str">
        <f>IF(C19=0,MAX($A$10:A18)+1," ")</f>
        <v xml:space="preserve"> </v>
      </c>
      <c r="B19" s="29" t="s">
        <v>7</v>
      </c>
      <c r="C19" s="30" t="s">
        <v>18</v>
      </c>
      <c r="D19" s="54" t="s">
        <v>128</v>
      </c>
      <c r="E19" s="54"/>
      <c r="F19" s="55"/>
      <c r="G19" s="54"/>
      <c r="H19" s="55"/>
    </row>
    <row r="20" spans="1:8" ht="15.75" x14ac:dyDescent="0.2">
      <c r="A20" s="23">
        <f>IF(C20=0,MAX($A$10:A18)+1," ")</f>
        <v>4</v>
      </c>
      <c r="B20" s="24"/>
      <c r="C20" s="25"/>
      <c r="D20" s="26" t="s">
        <v>20</v>
      </c>
      <c r="E20" s="25" t="s">
        <v>22</v>
      </c>
      <c r="F20" s="27">
        <f>12*(2*5.38+2*18.84)</f>
        <v>581.28</v>
      </c>
      <c r="G20" s="25"/>
      <c r="H20" s="77"/>
    </row>
    <row r="21" spans="1:8" s="10" customFormat="1" ht="15.75" x14ac:dyDescent="0.2">
      <c r="A21" s="12" t="str">
        <f>IF(C21=0,MAX(#REF!)+1," ")</f>
        <v xml:space="preserve"> </v>
      </c>
      <c r="B21" s="13"/>
      <c r="C21" s="14" t="s">
        <v>56</v>
      </c>
      <c r="D21" s="64" t="s">
        <v>57</v>
      </c>
      <c r="E21" s="64"/>
      <c r="F21" s="65"/>
      <c r="G21" s="64"/>
      <c r="H21" s="65"/>
    </row>
    <row r="22" spans="1:8" x14ac:dyDescent="0.2">
      <c r="A22" s="15" t="str">
        <f>IF(C22=0,MAX($A$10:A21)+1," ")</f>
        <v xml:space="preserve"> </v>
      </c>
      <c r="B22" s="16"/>
      <c r="C22" s="17" t="s">
        <v>58</v>
      </c>
      <c r="D22" s="56" t="s">
        <v>59</v>
      </c>
      <c r="E22" s="56"/>
      <c r="F22" s="57"/>
      <c r="G22" s="56"/>
      <c r="H22" s="57"/>
    </row>
    <row r="23" spans="1:8" x14ac:dyDescent="0.2">
      <c r="A23" s="28" t="str">
        <f>IF(C23=0,MAX($A$10:A22)+1," ")</f>
        <v xml:space="preserve"> </v>
      </c>
      <c r="B23" s="29" t="s">
        <v>64</v>
      </c>
      <c r="C23" s="30" t="s">
        <v>61</v>
      </c>
      <c r="D23" s="54" t="s">
        <v>60</v>
      </c>
      <c r="E23" s="54"/>
      <c r="F23" s="55"/>
      <c r="G23" s="54"/>
      <c r="H23" s="55"/>
    </row>
    <row r="24" spans="1:8" x14ac:dyDescent="0.2">
      <c r="A24" s="23">
        <f>IF(C24=0,MAX($A$10:A22)+1," ")</f>
        <v>5</v>
      </c>
      <c r="B24" s="24"/>
      <c r="C24" s="25"/>
      <c r="D24" s="26" t="s">
        <v>62</v>
      </c>
      <c r="E24" s="25" t="s">
        <v>63</v>
      </c>
      <c r="F24" s="27">
        <f>2148.6+1079.4+4276.4</f>
        <v>7504.4</v>
      </c>
      <c r="G24" s="25"/>
      <c r="H24" s="77"/>
    </row>
    <row r="25" spans="1:8" s="10" customFormat="1" ht="15.75" x14ac:dyDescent="0.2">
      <c r="A25" s="12" t="str">
        <f>IF(C25=0,MAX(#REF!)+1," ")</f>
        <v xml:space="preserve"> </v>
      </c>
      <c r="B25" s="13"/>
      <c r="C25" s="14" t="s">
        <v>65</v>
      </c>
      <c r="D25" s="64" t="s">
        <v>66</v>
      </c>
      <c r="E25" s="64"/>
      <c r="F25" s="65"/>
      <c r="G25" s="64"/>
      <c r="H25" s="65"/>
    </row>
    <row r="26" spans="1:8" x14ac:dyDescent="0.2">
      <c r="A26" s="15" t="str">
        <f>IF(C26=0,MAX($A$10:A25)+1," ")</f>
        <v xml:space="preserve"> </v>
      </c>
      <c r="B26" s="16"/>
      <c r="C26" s="17" t="s">
        <v>67</v>
      </c>
      <c r="D26" s="56" t="s">
        <v>68</v>
      </c>
      <c r="E26" s="56"/>
      <c r="F26" s="57"/>
      <c r="G26" s="56"/>
      <c r="H26" s="57"/>
    </row>
    <row r="27" spans="1:8" x14ac:dyDescent="0.2">
      <c r="A27" s="28" t="str">
        <f>IF(C27=0,MAX($A$10:A26)+1," ")</f>
        <v xml:space="preserve"> </v>
      </c>
      <c r="B27" s="29" t="s">
        <v>64</v>
      </c>
      <c r="C27" s="30" t="s">
        <v>69</v>
      </c>
      <c r="D27" s="54" t="s">
        <v>72</v>
      </c>
      <c r="E27" s="54"/>
      <c r="F27" s="55"/>
      <c r="G27" s="54"/>
      <c r="H27" s="55"/>
    </row>
    <row r="28" spans="1:8" x14ac:dyDescent="0.2">
      <c r="A28" s="23">
        <f>IF(C28=0,MAX($A$10:A26)+1," ")</f>
        <v>6</v>
      </c>
      <c r="B28" s="24"/>
      <c r="C28" s="25"/>
      <c r="D28" s="26" t="s">
        <v>70</v>
      </c>
      <c r="E28" s="25" t="s">
        <v>71</v>
      </c>
      <c r="F28" s="40">
        <f>0.3*13.4*2.8</f>
        <v>11.255999999999998</v>
      </c>
      <c r="G28" s="25"/>
      <c r="H28" s="77"/>
    </row>
    <row r="29" spans="1:8" x14ac:dyDescent="0.2">
      <c r="A29" s="28" t="str">
        <f>IF(C29=0,MAX($A$10:A28)+1," ")</f>
        <v xml:space="preserve"> </v>
      </c>
      <c r="B29" s="29" t="s">
        <v>64</v>
      </c>
      <c r="C29" s="30" t="s">
        <v>73</v>
      </c>
      <c r="D29" s="54" t="s">
        <v>74</v>
      </c>
      <c r="E29" s="54"/>
      <c r="F29" s="55"/>
      <c r="G29" s="54"/>
      <c r="H29" s="55"/>
    </row>
    <row r="30" spans="1:8" x14ac:dyDescent="0.2">
      <c r="A30" s="23">
        <f>IF(C30=0,MAX($A$10:A28)+1," ")</f>
        <v>7</v>
      </c>
      <c r="B30" s="24"/>
      <c r="C30" s="25"/>
      <c r="D30" s="26" t="s">
        <v>75</v>
      </c>
      <c r="E30" s="25" t="s">
        <v>71</v>
      </c>
      <c r="F30" s="40">
        <v>6.14</v>
      </c>
      <c r="G30" s="25"/>
      <c r="H30" s="77"/>
    </row>
    <row r="31" spans="1:8" x14ac:dyDescent="0.2">
      <c r="A31" s="28" t="str">
        <f>IF(C31=0,MAX($A$10:A30)+1," ")</f>
        <v xml:space="preserve"> </v>
      </c>
      <c r="B31" s="29" t="s">
        <v>64</v>
      </c>
      <c r="C31" s="30" t="s">
        <v>80</v>
      </c>
      <c r="D31" s="54" t="s">
        <v>76</v>
      </c>
      <c r="E31" s="54"/>
      <c r="F31" s="55"/>
      <c r="G31" s="54"/>
      <c r="H31" s="55"/>
    </row>
    <row r="32" spans="1:8" x14ac:dyDescent="0.2">
      <c r="A32" s="23">
        <f>IF(C32=0,MAX($A$10:A30)+1," ")</f>
        <v>8</v>
      </c>
      <c r="B32" s="24"/>
      <c r="C32" s="25"/>
      <c r="D32" s="26" t="s">
        <v>77</v>
      </c>
      <c r="E32" s="25" t="s">
        <v>71</v>
      </c>
      <c r="F32" s="40">
        <f>4*8*0.35*2</f>
        <v>22.4</v>
      </c>
      <c r="G32" s="25"/>
      <c r="H32" s="77"/>
    </row>
    <row r="33" spans="1:8" x14ac:dyDescent="0.2">
      <c r="A33" s="15" t="str">
        <f>IF(C33=0,MAX($A$10:A32)+1," ")</f>
        <v xml:space="preserve"> </v>
      </c>
      <c r="B33" s="16"/>
      <c r="C33" s="17" t="s">
        <v>81</v>
      </c>
      <c r="D33" s="56" t="s">
        <v>78</v>
      </c>
      <c r="E33" s="56"/>
      <c r="F33" s="57"/>
      <c r="G33" s="56"/>
      <c r="H33" s="57"/>
    </row>
    <row r="34" spans="1:8" x14ac:dyDescent="0.2">
      <c r="A34" s="28" t="str">
        <f>IF(C34=0,MAX($A$10:A33)+1," ")</f>
        <v xml:space="preserve"> </v>
      </c>
      <c r="B34" s="29" t="s">
        <v>64</v>
      </c>
      <c r="C34" s="30" t="s">
        <v>82</v>
      </c>
      <c r="D34" s="54" t="s">
        <v>79</v>
      </c>
      <c r="E34" s="54"/>
      <c r="F34" s="55"/>
      <c r="G34" s="54"/>
      <c r="H34" s="55"/>
    </row>
    <row r="35" spans="1:8" x14ac:dyDescent="0.2">
      <c r="A35" s="23">
        <f>IF(C35=0,MAX($A$10:A33)+1," ")</f>
        <v>9</v>
      </c>
      <c r="B35" s="24"/>
      <c r="C35" s="25"/>
      <c r="D35" s="26" t="s">
        <v>91</v>
      </c>
      <c r="E35" s="25" t="s">
        <v>71</v>
      </c>
      <c r="F35" s="40">
        <f>2.94*16.5*0.1+4*8*0.1*4+2.3*13*0.1+0.18*0.55*13*2</f>
        <v>23.215</v>
      </c>
      <c r="G35" s="25"/>
      <c r="H35" s="77"/>
    </row>
    <row r="36" spans="1:8" x14ac:dyDescent="0.2">
      <c r="A36" s="15" t="str">
        <f>IF(C36=0,MAX($A$10:A35)+1," ")</f>
        <v xml:space="preserve"> </v>
      </c>
      <c r="B36" s="16"/>
      <c r="C36" s="17" t="s">
        <v>84</v>
      </c>
      <c r="D36" s="56" t="s">
        <v>83</v>
      </c>
      <c r="E36" s="56"/>
      <c r="F36" s="57"/>
      <c r="G36" s="56"/>
      <c r="H36" s="57"/>
    </row>
    <row r="37" spans="1:8" x14ac:dyDescent="0.2">
      <c r="A37" s="28" t="str">
        <f>IF(C37=0,MAX($A$10:A36)+1," ")</f>
        <v xml:space="preserve"> </v>
      </c>
      <c r="B37" s="29" t="s">
        <v>64</v>
      </c>
      <c r="C37" s="30" t="s">
        <v>85</v>
      </c>
      <c r="D37" s="54" t="s">
        <v>86</v>
      </c>
      <c r="E37" s="54"/>
      <c r="F37" s="55"/>
      <c r="G37" s="54"/>
      <c r="H37" s="55"/>
    </row>
    <row r="38" spans="1:8" ht="18" customHeight="1" x14ac:dyDescent="0.2">
      <c r="A38" s="23">
        <f>IF(C38=0,MAX($A$10:A36)+1," ")</f>
        <v>10</v>
      </c>
      <c r="B38" s="24"/>
      <c r="C38" s="25"/>
      <c r="D38" s="26" t="s">
        <v>230</v>
      </c>
      <c r="E38" s="25" t="s">
        <v>8</v>
      </c>
      <c r="F38" s="40">
        <v>12</v>
      </c>
      <c r="G38" s="25"/>
      <c r="H38" s="77"/>
    </row>
    <row r="39" spans="1:8" ht="18" customHeight="1" x14ac:dyDescent="0.2">
      <c r="A39" s="23">
        <f>IF(C39=0,MAX($A$10:A38)+1," ")</f>
        <v>11</v>
      </c>
      <c r="B39" s="24"/>
      <c r="C39" s="25"/>
      <c r="D39" s="26" t="s">
        <v>231</v>
      </c>
      <c r="E39" s="25" t="s">
        <v>152</v>
      </c>
      <c r="F39" s="40">
        <v>2</v>
      </c>
      <c r="G39" s="25"/>
      <c r="H39" s="77"/>
    </row>
    <row r="40" spans="1:8" s="10" customFormat="1" ht="15.75" x14ac:dyDescent="0.2">
      <c r="A40" s="12" t="str">
        <f>IF(C40=0,MAX(#REF!)+1," ")</f>
        <v xml:space="preserve"> </v>
      </c>
      <c r="B40" s="13"/>
      <c r="C40" s="14" t="s">
        <v>87</v>
      </c>
      <c r="D40" s="64" t="s">
        <v>88</v>
      </c>
      <c r="E40" s="64"/>
      <c r="F40" s="65"/>
      <c r="G40" s="64"/>
      <c r="H40" s="65"/>
    </row>
    <row r="41" spans="1:8" x14ac:dyDescent="0.2">
      <c r="A41" s="15" t="str">
        <f>IF(C41=0,MAX($A$10:A40)+1," ")</f>
        <v xml:space="preserve"> </v>
      </c>
      <c r="B41" s="16"/>
      <c r="C41" s="17" t="s">
        <v>89</v>
      </c>
      <c r="D41" s="56" t="s">
        <v>90</v>
      </c>
      <c r="E41" s="56"/>
      <c r="F41" s="57"/>
      <c r="G41" s="56"/>
      <c r="H41" s="57"/>
    </row>
    <row r="42" spans="1:8" x14ac:dyDescent="0.2">
      <c r="A42" s="28" t="str">
        <f>IF(C42=0,MAX($A$10:A41)+1," ")</f>
        <v xml:space="preserve"> </v>
      </c>
      <c r="B42" s="29" t="s">
        <v>64</v>
      </c>
      <c r="C42" s="30" t="s">
        <v>94</v>
      </c>
      <c r="D42" s="54" t="s">
        <v>93</v>
      </c>
      <c r="E42" s="54"/>
      <c r="F42" s="55"/>
      <c r="G42" s="54"/>
      <c r="H42" s="55"/>
    </row>
    <row r="43" spans="1:8" ht="18.75" customHeight="1" x14ac:dyDescent="0.2">
      <c r="A43" s="23">
        <f>IF(C43=0,MAX($A$10:A41)+1," ")</f>
        <v>12</v>
      </c>
      <c r="B43" s="24"/>
      <c r="C43" s="25"/>
      <c r="D43" s="26" t="s">
        <v>95</v>
      </c>
      <c r="E43" s="25" t="s">
        <v>106</v>
      </c>
      <c r="F43" s="40">
        <f>3.4*13+3.25*4+5.5*2+2.2*4+1.85*13*2</f>
        <v>125.1</v>
      </c>
      <c r="G43" s="25"/>
      <c r="H43" s="77"/>
    </row>
    <row r="44" spans="1:8" x14ac:dyDescent="0.2">
      <c r="A44" s="15" t="str">
        <f>IF(C44=0,MAX($A$10:A43)+1," ")</f>
        <v xml:space="preserve"> </v>
      </c>
      <c r="B44" s="16"/>
      <c r="C44" s="17" t="s">
        <v>96</v>
      </c>
      <c r="D44" s="56" t="s">
        <v>97</v>
      </c>
      <c r="E44" s="56"/>
      <c r="F44" s="57"/>
      <c r="G44" s="56"/>
      <c r="H44" s="57"/>
    </row>
    <row r="45" spans="1:8" x14ac:dyDescent="0.2">
      <c r="A45" s="28" t="str">
        <f>IF(C45=0,MAX($A$10:A44)+1," ")</f>
        <v xml:space="preserve"> </v>
      </c>
      <c r="B45" s="29" t="s">
        <v>64</v>
      </c>
      <c r="C45" s="30" t="s">
        <v>100</v>
      </c>
      <c r="D45" s="54" t="s">
        <v>98</v>
      </c>
      <c r="E45" s="54"/>
      <c r="F45" s="55"/>
      <c r="G45" s="54"/>
      <c r="H45" s="55"/>
    </row>
    <row r="46" spans="1:8" ht="26.25" customHeight="1" x14ac:dyDescent="0.2">
      <c r="A46" s="23">
        <f>IF(C46=0,MAX($A$10:A44)+1," ")</f>
        <v>13</v>
      </c>
      <c r="B46" s="24"/>
      <c r="C46" s="25"/>
      <c r="D46" s="26" t="s">
        <v>99</v>
      </c>
      <c r="E46" s="25" t="s">
        <v>106</v>
      </c>
      <c r="F46" s="40">
        <f>4*8*2+2.3*13</f>
        <v>93.9</v>
      </c>
      <c r="G46" s="25"/>
      <c r="H46" s="77"/>
    </row>
    <row r="47" spans="1:8" x14ac:dyDescent="0.2">
      <c r="A47" s="15" t="str">
        <f>IF(C47=0,MAX($A$10:A46)+1," ")</f>
        <v xml:space="preserve"> </v>
      </c>
      <c r="B47" s="16"/>
      <c r="C47" s="17" t="s">
        <v>101</v>
      </c>
      <c r="D47" s="56" t="s">
        <v>102</v>
      </c>
      <c r="E47" s="56"/>
      <c r="F47" s="57"/>
      <c r="G47" s="56"/>
      <c r="H47" s="57"/>
    </row>
    <row r="48" spans="1:8" x14ac:dyDescent="0.2">
      <c r="A48" s="28" t="str">
        <f>IF(C48=0,MAX($A$10:A47)+1," ")</f>
        <v xml:space="preserve"> </v>
      </c>
      <c r="B48" s="29" t="s">
        <v>64</v>
      </c>
      <c r="C48" s="30" t="s">
        <v>104</v>
      </c>
      <c r="D48" s="54" t="s">
        <v>103</v>
      </c>
      <c r="E48" s="54"/>
      <c r="F48" s="55"/>
      <c r="G48" s="54"/>
      <c r="H48" s="55"/>
    </row>
    <row r="49" spans="1:8" ht="15" customHeight="1" x14ac:dyDescent="0.2">
      <c r="A49" s="23">
        <f>IF(C49=0,MAX($A$10:A47)+1," ")</f>
        <v>14</v>
      </c>
      <c r="B49" s="24"/>
      <c r="C49" s="25"/>
      <c r="D49" s="26" t="s">
        <v>105</v>
      </c>
      <c r="E49" s="25" t="s">
        <v>106</v>
      </c>
      <c r="F49" s="40">
        <f>0.35*2.7*2</f>
        <v>1.89</v>
      </c>
      <c r="G49" s="25"/>
      <c r="H49" s="77"/>
    </row>
    <row r="50" spans="1:8" x14ac:dyDescent="0.2">
      <c r="A50" s="15" t="str">
        <f>IF(C50=0,MAX($A$10:A49)+1," ")</f>
        <v xml:space="preserve"> </v>
      </c>
      <c r="B50" s="16"/>
      <c r="C50" s="17" t="s">
        <v>107</v>
      </c>
      <c r="D50" s="56" t="s">
        <v>109</v>
      </c>
      <c r="E50" s="56"/>
      <c r="F50" s="57"/>
      <c r="G50" s="56"/>
      <c r="H50" s="57"/>
    </row>
    <row r="51" spans="1:8" x14ac:dyDescent="0.2">
      <c r="A51" s="28" t="str">
        <f>IF(C51=0,MAX($A$10:A50)+1," ")</f>
        <v xml:space="preserve"> </v>
      </c>
      <c r="B51" s="29" t="s">
        <v>64</v>
      </c>
      <c r="C51" s="30" t="s">
        <v>108</v>
      </c>
      <c r="D51" s="54" t="s">
        <v>110</v>
      </c>
      <c r="E51" s="54"/>
      <c r="F51" s="55"/>
      <c r="G51" s="54"/>
      <c r="H51" s="55"/>
    </row>
    <row r="52" spans="1:8" ht="15" customHeight="1" x14ac:dyDescent="0.2">
      <c r="A52" s="23">
        <f>IF(C52=0,MAX($A$10:A50)+1," ")</f>
        <v>15</v>
      </c>
      <c r="B52" s="24"/>
      <c r="C52" s="25"/>
      <c r="D52" s="26" t="s">
        <v>111</v>
      </c>
      <c r="E52" s="25" t="s">
        <v>106</v>
      </c>
      <c r="F52" s="40">
        <f>3.5*13+1.1*4</f>
        <v>49.9</v>
      </c>
      <c r="G52" s="25"/>
      <c r="H52" s="77"/>
    </row>
    <row r="53" spans="1:8" s="10" customFormat="1" ht="15.75" x14ac:dyDescent="0.2">
      <c r="A53" s="12" t="str">
        <f>IF(C53=0,MAX(#REF!)+1," ")</f>
        <v xml:space="preserve"> </v>
      </c>
      <c r="B53" s="13"/>
      <c r="C53" s="14" t="s">
        <v>112</v>
      </c>
      <c r="D53" s="64" t="s">
        <v>113</v>
      </c>
      <c r="E53" s="64"/>
      <c r="F53" s="65"/>
      <c r="G53" s="64"/>
      <c r="H53" s="65"/>
    </row>
    <row r="54" spans="1:8" x14ac:dyDescent="0.2">
      <c r="A54" s="28" t="str">
        <f>IF(C54=0,MAX($A$10:A53)+1," ")</f>
        <v xml:space="preserve"> </v>
      </c>
      <c r="B54" s="29" t="s">
        <v>64</v>
      </c>
      <c r="C54" s="30" t="s">
        <v>198</v>
      </c>
      <c r="D54" s="54" t="s">
        <v>199</v>
      </c>
      <c r="E54" s="54"/>
      <c r="F54" s="55"/>
      <c r="G54" s="54"/>
      <c r="H54" s="55"/>
    </row>
    <row r="55" spans="1:8" ht="18.75" customHeight="1" x14ac:dyDescent="0.2">
      <c r="A55" s="23">
        <f>IF(C55=0,MAX($A$10:A53)+1," ")</f>
        <v>16</v>
      </c>
      <c r="B55" s="24"/>
      <c r="C55" s="25"/>
      <c r="D55" s="26" t="s">
        <v>114</v>
      </c>
      <c r="E55" s="25" t="s">
        <v>8</v>
      </c>
      <c r="F55" s="40">
        <f>14.5*2</f>
        <v>29</v>
      </c>
      <c r="G55" s="25"/>
      <c r="H55" s="77"/>
    </row>
    <row r="56" spans="1:8" s="10" customFormat="1" ht="15.75" x14ac:dyDescent="0.2">
      <c r="A56" s="12" t="str">
        <f>IF(C56=0,MAX(#REF!)+1," ")</f>
        <v xml:space="preserve"> </v>
      </c>
      <c r="B56" s="13"/>
      <c r="C56" s="14" t="s">
        <v>121</v>
      </c>
      <c r="D56" s="64" t="s">
        <v>122</v>
      </c>
      <c r="E56" s="64"/>
      <c r="F56" s="65"/>
      <c r="G56" s="64"/>
      <c r="H56" s="65"/>
    </row>
    <row r="57" spans="1:8" x14ac:dyDescent="0.2">
      <c r="A57" s="28" t="str">
        <f>IF(C57=0,MAX($A$10:A56)+1," ")</f>
        <v xml:space="preserve"> </v>
      </c>
      <c r="B57" s="29" t="s">
        <v>64</v>
      </c>
      <c r="C57" s="30" t="s">
        <v>124</v>
      </c>
      <c r="D57" s="54" t="s">
        <v>123</v>
      </c>
      <c r="E57" s="54"/>
      <c r="F57" s="55"/>
      <c r="G57" s="54"/>
      <c r="H57" s="55"/>
    </row>
    <row r="58" spans="1:8" ht="15.75" customHeight="1" x14ac:dyDescent="0.2">
      <c r="A58" s="23">
        <f>IF(C58=0,MAX($A$10:A56)+1," ")</f>
        <v>17</v>
      </c>
      <c r="B58" s="24"/>
      <c r="C58" s="25"/>
      <c r="D58" s="26" t="s">
        <v>125</v>
      </c>
      <c r="E58" s="25" t="s">
        <v>63</v>
      </c>
      <c r="F58" s="40">
        <f>132.3*2</f>
        <v>264.60000000000002</v>
      </c>
      <c r="G58" s="25"/>
      <c r="H58" s="77"/>
    </row>
    <row r="59" spans="1:8" s="10" customFormat="1" ht="15.75" x14ac:dyDescent="0.2">
      <c r="A59" s="12" t="str">
        <f>IF(C59=0,MAX(#REF!)+1," ")</f>
        <v xml:space="preserve"> </v>
      </c>
      <c r="B59" s="13"/>
      <c r="C59" s="14" t="s">
        <v>23</v>
      </c>
      <c r="D59" s="61" t="s">
        <v>24</v>
      </c>
      <c r="E59" s="62"/>
      <c r="F59" s="63"/>
      <c r="G59" s="62"/>
      <c r="H59" s="63"/>
    </row>
    <row r="60" spans="1:8" x14ac:dyDescent="0.2">
      <c r="A60" s="15" t="str">
        <f>IF(C60=0,MAX($A$10:A59)+1," ")</f>
        <v xml:space="preserve"> </v>
      </c>
      <c r="B60" s="16"/>
      <c r="C60" s="17" t="s">
        <v>25</v>
      </c>
      <c r="D60" s="58" t="s">
        <v>24</v>
      </c>
      <c r="E60" s="59"/>
      <c r="F60" s="60"/>
      <c r="G60" s="59"/>
      <c r="H60" s="60"/>
    </row>
    <row r="61" spans="1:8" ht="12.75" customHeight="1" x14ac:dyDescent="0.2">
      <c r="A61" s="28" t="str">
        <f>IF(C61=0,MAX($A$10:A60)+1," ")</f>
        <v xml:space="preserve"> </v>
      </c>
      <c r="B61" s="29" t="s">
        <v>27</v>
      </c>
      <c r="C61" s="30" t="s">
        <v>118</v>
      </c>
      <c r="D61" s="54" t="s">
        <v>115</v>
      </c>
      <c r="E61" s="54"/>
      <c r="F61" s="55"/>
      <c r="G61" s="54"/>
      <c r="H61" s="55"/>
    </row>
    <row r="62" spans="1:8" s="18" customFormat="1" ht="25.5" x14ac:dyDescent="0.2">
      <c r="A62" s="23">
        <f>IF(C62=0,MAX($A$10:A60)+1," ")</f>
        <v>18</v>
      </c>
      <c r="B62" s="31"/>
      <c r="C62" s="32"/>
      <c r="D62" s="34" t="s">
        <v>116</v>
      </c>
      <c r="E62" s="33" t="s">
        <v>22</v>
      </c>
      <c r="F62" s="27">
        <f>12</f>
        <v>12</v>
      </c>
      <c r="G62" s="33"/>
      <c r="H62" s="77"/>
    </row>
    <row r="63" spans="1:8" x14ac:dyDescent="0.2">
      <c r="A63" s="28" t="str">
        <f>IF(C63=0,MAX($A$10:A62)+1," ")</f>
        <v xml:space="preserve"> </v>
      </c>
      <c r="B63" s="29" t="s">
        <v>27</v>
      </c>
      <c r="C63" s="30" t="s">
        <v>32</v>
      </c>
      <c r="D63" s="54" t="s">
        <v>117</v>
      </c>
      <c r="E63" s="54"/>
      <c r="F63" s="55"/>
      <c r="G63" s="54"/>
      <c r="H63" s="55"/>
    </row>
    <row r="64" spans="1:8" s="18" customFormat="1" ht="15.75" x14ac:dyDescent="0.2">
      <c r="A64" s="23">
        <f>IF(C64=0,MAX($A$10:A62)+1," ")</f>
        <v>19</v>
      </c>
      <c r="B64" s="31"/>
      <c r="C64" s="32"/>
      <c r="D64" s="34" t="s">
        <v>232</v>
      </c>
      <c r="E64" s="33" t="s">
        <v>22</v>
      </c>
      <c r="F64" s="27">
        <v>20</v>
      </c>
      <c r="G64" s="33"/>
      <c r="H64" s="77"/>
    </row>
    <row r="65" spans="1:8" s="18" customFormat="1" ht="25.5" x14ac:dyDescent="0.2">
      <c r="A65" s="23">
        <f>IF(C65=0,MAX($A$10:A64)+1," ")</f>
        <v>20</v>
      </c>
      <c r="B65" s="31"/>
      <c r="C65" s="32"/>
      <c r="D65" s="34" t="s">
        <v>120</v>
      </c>
      <c r="E65" s="33" t="s">
        <v>21</v>
      </c>
      <c r="F65" s="27">
        <f>20*0.5*0.5*2</f>
        <v>10</v>
      </c>
      <c r="G65" s="33"/>
      <c r="H65" s="77"/>
    </row>
    <row r="66" spans="1:8" x14ac:dyDescent="0.2">
      <c r="A66" s="15" t="str">
        <f>IF(C66=0,MAX($A$10:A64)+1," ")</f>
        <v xml:space="preserve"> </v>
      </c>
      <c r="B66" s="16"/>
      <c r="C66" s="17" t="s">
        <v>37</v>
      </c>
      <c r="D66" s="56" t="s">
        <v>38</v>
      </c>
      <c r="E66" s="56"/>
      <c r="F66" s="57"/>
      <c r="G66" s="56"/>
      <c r="H66" s="57"/>
    </row>
    <row r="67" spans="1:8" x14ac:dyDescent="0.2">
      <c r="A67" s="28" t="str">
        <f>IF(C67=0,MAX($A$10:A66)+1," ")</f>
        <v xml:space="preserve"> </v>
      </c>
      <c r="B67" s="29" t="s">
        <v>27</v>
      </c>
      <c r="C67" s="30" t="s">
        <v>42</v>
      </c>
      <c r="D67" s="54" t="s">
        <v>43</v>
      </c>
      <c r="E67" s="54"/>
      <c r="F67" s="55"/>
      <c r="G67" s="54"/>
      <c r="H67" s="55"/>
    </row>
    <row r="68" spans="1:8" s="18" customFormat="1" ht="13.5" thickBot="1" x14ac:dyDescent="0.25">
      <c r="A68" s="71">
        <f>IF(C68=0,MAX($A$10:A65)+1," ")</f>
        <v>21</v>
      </c>
      <c r="B68" s="72"/>
      <c r="C68" s="73"/>
      <c r="D68" s="74" t="s">
        <v>43</v>
      </c>
      <c r="E68" s="75" t="s">
        <v>40</v>
      </c>
      <c r="F68" s="76">
        <v>1</v>
      </c>
      <c r="G68" s="33"/>
      <c r="H68" s="77"/>
    </row>
    <row r="69" spans="1:8" ht="21" customHeight="1" thickBot="1" x14ac:dyDescent="0.25">
      <c r="F69" s="109" t="s">
        <v>267</v>
      </c>
      <c r="G69" s="132"/>
      <c r="H69" s="133"/>
    </row>
    <row r="74" spans="1:8" s="7" customFormat="1" x14ac:dyDescent="0.2">
      <c r="A74" s="1"/>
      <c r="B74" s="2"/>
      <c r="C74" s="2"/>
      <c r="D74" s="39"/>
      <c r="F74" s="3"/>
      <c r="G74" s="2"/>
    </row>
  </sheetData>
  <mergeCells count="14">
    <mergeCell ref="G69:H69"/>
    <mergeCell ref="A6:A8"/>
    <mergeCell ref="B6:B8"/>
    <mergeCell ref="C6:C8"/>
    <mergeCell ref="D6:D8"/>
    <mergeCell ref="E6:F6"/>
    <mergeCell ref="E7:E8"/>
    <mergeCell ref="F7:F8"/>
    <mergeCell ref="A3:H3"/>
    <mergeCell ref="A1:H1"/>
    <mergeCell ref="A4:H4"/>
    <mergeCell ref="G6:H6"/>
    <mergeCell ref="G7:G8"/>
    <mergeCell ref="H7:H8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71" fitToHeight="58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D86DC-85AD-4DAA-BE35-14EFAD0E6937}">
  <sheetPr>
    <tabColor rgb="FF92D050"/>
  </sheetPr>
  <dimension ref="A1:H41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16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263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35"/>
      <c r="B8" s="128"/>
      <c r="C8" s="138"/>
      <c r="D8" s="138"/>
      <c r="E8" s="128"/>
      <c r="F8" s="130"/>
      <c r="G8" s="129"/>
      <c r="H8" s="131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66" t="str">
        <f>IF(C10=0,MAX(#REF!)+1," ")</f>
        <v xml:space="preserve"> </v>
      </c>
      <c r="B10" s="67"/>
      <c r="C10" s="68" t="s">
        <v>10</v>
      </c>
      <c r="D10" s="69" t="s">
        <v>11</v>
      </c>
      <c r="E10" s="69"/>
      <c r="F10" s="70"/>
      <c r="G10" s="69"/>
      <c r="H10" s="70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56" t="s">
        <v>13</v>
      </c>
      <c r="E11" s="56"/>
      <c r="F11" s="57"/>
      <c r="G11" s="56"/>
      <c r="H11" s="57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54" t="s">
        <v>19</v>
      </c>
      <c r="E12" s="54"/>
      <c r="F12" s="55"/>
      <c r="G12" s="54"/>
      <c r="H12" s="55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27">
        <f>69*20</f>
        <v>1380</v>
      </c>
      <c r="G13" s="25"/>
      <c r="H13" s="77"/>
    </row>
    <row r="14" spans="1:8" x14ac:dyDescent="0.2">
      <c r="A14" s="15" t="str">
        <f>IF(C14=0,MAX($A$10:A13)+1," ")</f>
        <v xml:space="preserve"> </v>
      </c>
      <c r="B14" s="16"/>
      <c r="C14" s="17" t="s">
        <v>14</v>
      </c>
      <c r="D14" s="56" t="s">
        <v>17</v>
      </c>
      <c r="E14" s="56"/>
      <c r="F14" s="57"/>
      <c r="G14" s="56"/>
      <c r="H14" s="57"/>
    </row>
    <row r="15" spans="1:8" x14ac:dyDescent="0.2">
      <c r="A15" s="28" t="str">
        <f>IF(C15=0,MAX($A$10:A14)+1," ")</f>
        <v xml:space="preserve"> </v>
      </c>
      <c r="B15" s="29" t="s">
        <v>7</v>
      </c>
      <c r="C15" s="30" t="s">
        <v>18</v>
      </c>
      <c r="D15" s="54" t="s">
        <v>128</v>
      </c>
      <c r="E15" s="54"/>
      <c r="F15" s="55"/>
      <c r="G15" s="54"/>
      <c r="H15" s="55"/>
    </row>
    <row r="16" spans="1:8" ht="15.75" x14ac:dyDescent="0.2">
      <c r="A16" s="23">
        <f>IF(C16=0,MAX($A$10:A14)+1," ")</f>
        <v>2</v>
      </c>
      <c r="B16" s="24"/>
      <c r="C16" s="25"/>
      <c r="D16" s="26" t="s">
        <v>129</v>
      </c>
      <c r="E16" s="25" t="s">
        <v>22</v>
      </c>
      <c r="F16" s="27">
        <f>6*(2*28.2+2*7.6)</f>
        <v>429.59999999999997</v>
      </c>
      <c r="G16" s="25"/>
      <c r="H16" s="77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4" t="s">
        <v>24</v>
      </c>
      <c r="E17" s="64"/>
      <c r="F17" s="65"/>
      <c r="G17" s="64"/>
      <c r="H17" s="65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56" t="s">
        <v>24</v>
      </c>
      <c r="E18" s="56"/>
      <c r="F18" s="57"/>
      <c r="G18" s="56"/>
      <c r="H18" s="57"/>
    </row>
    <row r="19" spans="1:8" x14ac:dyDescent="0.2">
      <c r="A19" s="28" t="str">
        <f>IF(C19=0,MAX($A$10:A18)+1," ")</f>
        <v xml:space="preserve"> </v>
      </c>
      <c r="B19" s="29" t="s">
        <v>27</v>
      </c>
      <c r="C19" s="30" t="s">
        <v>26</v>
      </c>
      <c r="D19" s="54" t="s">
        <v>28</v>
      </c>
      <c r="E19" s="54"/>
      <c r="F19" s="55"/>
      <c r="G19" s="54"/>
      <c r="H19" s="55"/>
    </row>
    <row r="20" spans="1:8" s="18" customFormat="1" x14ac:dyDescent="0.2">
      <c r="A20" s="23">
        <f>IF(C20=0,MAX($A$10:A19)+1," ")</f>
        <v>3</v>
      </c>
      <c r="B20" s="31"/>
      <c r="C20" s="32"/>
      <c r="D20" s="26" t="s">
        <v>29</v>
      </c>
      <c r="E20" s="33" t="s">
        <v>8</v>
      </c>
      <c r="F20" s="40">
        <f>5.47+6.01</f>
        <v>11.48</v>
      </c>
      <c r="G20" s="33"/>
      <c r="H20" s="77"/>
    </row>
    <row r="21" spans="1:8" ht="24.75" customHeight="1" x14ac:dyDescent="0.2">
      <c r="A21" s="28" t="str">
        <f>IF(C21=0,MAX($A$10:A20)+1," ")</f>
        <v xml:space="preserve"> </v>
      </c>
      <c r="B21" s="29" t="s">
        <v>27</v>
      </c>
      <c r="C21" s="30" t="s">
        <v>118</v>
      </c>
      <c r="D21" s="54" t="s">
        <v>115</v>
      </c>
      <c r="E21" s="54"/>
      <c r="F21" s="55"/>
      <c r="G21" s="54"/>
      <c r="H21" s="55"/>
    </row>
    <row r="22" spans="1:8" s="18" customFormat="1" ht="25.5" x14ac:dyDescent="0.2">
      <c r="A22" s="23">
        <f>IF(C22=0,MAX($A$10:A20)+1," ")</f>
        <v>4</v>
      </c>
      <c r="B22" s="31"/>
      <c r="C22" s="32"/>
      <c r="D22" s="34" t="s">
        <v>30</v>
      </c>
      <c r="E22" s="33" t="s">
        <v>22</v>
      </c>
      <c r="F22" s="27">
        <v>29</v>
      </c>
      <c r="G22" s="33"/>
      <c r="H22" s="77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32</v>
      </c>
      <c r="D23" s="54" t="s">
        <v>117</v>
      </c>
      <c r="E23" s="54"/>
      <c r="F23" s="55"/>
      <c r="G23" s="54"/>
      <c r="H23" s="55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31</v>
      </c>
      <c r="E24" s="33" t="s">
        <v>22</v>
      </c>
      <c r="F24" s="27">
        <f>1.8*32</f>
        <v>57.6</v>
      </c>
      <c r="G24" s="33"/>
      <c r="H24" s="77"/>
    </row>
    <row r="25" spans="1:8" s="18" customFormat="1" ht="25.5" x14ac:dyDescent="0.2">
      <c r="A25" s="23">
        <f>IF(C25=0,MAX($A$10:A24)+1," ")</f>
        <v>6</v>
      </c>
      <c r="B25" s="31"/>
      <c r="C25" s="32"/>
      <c r="D25" s="34" t="s">
        <v>233</v>
      </c>
      <c r="E25" s="33" t="s">
        <v>21</v>
      </c>
      <c r="F25" s="27">
        <f>37*0.5*0.5*4</f>
        <v>37</v>
      </c>
      <c r="G25" s="33"/>
      <c r="H25" s="77"/>
    </row>
    <row r="26" spans="1:8" x14ac:dyDescent="0.2">
      <c r="A26" s="15" t="str">
        <f>IF(C26=0,MAX($A$10:A24)+1," ")</f>
        <v xml:space="preserve"> </v>
      </c>
      <c r="B26" s="16"/>
      <c r="C26" s="17" t="s">
        <v>37</v>
      </c>
      <c r="D26" s="56" t="s">
        <v>38</v>
      </c>
      <c r="E26" s="56"/>
      <c r="F26" s="57"/>
      <c r="G26" s="56"/>
      <c r="H26" s="57"/>
    </row>
    <row r="27" spans="1:8" x14ac:dyDescent="0.2">
      <c r="A27" s="28" t="str">
        <f>IF(C27=0,MAX($A$10:A26)+1," ")</f>
        <v xml:space="preserve"> </v>
      </c>
      <c r="B27" s="29" t="s">
        <v>27</v>
      </c>
      <c r="C27" s="30" t="s">
        <v>41</v>
      </c>
      <c r="D27" s="54" t="s">
        <v>39</v>
      </c>
      <c r="E27" s="54"/>
      <c r="F27" s="55"/>
      <c r="G27" s="54"/>
      <c r="H27" s="55"/>
    </row>
    <row r="28" spans="1:8" s="18" customFormat="1" ht="24" customHeight="1" x14ac:dyDescent="0.2">
      <c r="A28" s="23">
        <f>IF(C28=0,MAX($A$10:A27)+1," ")</f>
        <v>7</v>
      </c>
      <c r="B28" s="31"/>
      <c r="C28" s="32"/>
      <c r="D28" s="26" t="s">
        <v>119</v>
      </c>
      <c r="E28" s="33" t="s">
        <v>40</v>
      </c>
      <c r="F28" s="35">
        <v>1</v>
      </c>
      <c r="G28" s="33"/>
      <c r="H28" s="77"/>
    </row>
    <row r="29" spans="1:8" x14ac:dyDescent="0.2">
      <c r="A29" s="28" t="str">
        <f>IF(C29=0,MAX($A$10:A28)+1," ")</f>
        <v xml:space="preserve"> </v>
      </c>
      <c r="B29" s="29" t="s">
        <v>27</v>
      </c>
      <c r="C29" s="30" t="s">
        <v>42</v>
      </c>
      <c r="D29" s="54" t="s">
        <v>43</v>
      </c>
      <c r="E29" s="54"/>
      <c r="F29" s="55"/>
      <c r="G29" s="54"/>
      <c r="H29" s="55"/>
    </row>
    <row r="30" spans="1:8" s="18" customFormat="1" x14ac:dyDescent="0.2">
      <c r="A30" s="23">
        <f>IF(C30=0,MAX($A$10:A29)+1," ")</f>
        <v>8</v>
      </c>
      <c r="B30" s="31"/>
      <c r="C30" s="32"/>
      <c r="D30" s="26" t="s">
        <v>43</v>
      </c>
      <c r="E30" s="33" t="s">
        <v>40</v>
      </c>
      <c r="F30" s="35">
        <v>1</v>
      </c>
      <c r="G30" s="33"/>
      <c r="H30" s="77"/>
    </row>
    <row r="31" spans="1:8" x14ac:dyDescent="0.2">
      <c r="A31" s="15" t="str">
        <f>IF(C31=0,MAX($A$10:A24)+1," ")</f>
        <v xml:space="preserve"> </v>
      </c>
      <c r="B31" s="16"/>
      <c r="C31" s="17" t="s">
        <v>33</v>
      </c>
      <c r="D31" s="56" t="s">
        <v>34</v>
      </c>
      <c r="E31" s="56"/>
      <c r="F31" s="57"/>
      <c r="G31" s="56"/>
      <c r="H31" s="57"/>
    </row>
    <row r="32" spans="1:8" x14ac:dyDescent="0.2">
      <c r="A32" s="28" t="str">
        <f>IF(C32=0,MAX($A$10:A31)+1," ")</f>
        <v xml:space="preserve"> </v>
      </c>
      <c r="B32" s="29" t="s">
        <v>9</v>
      </c>
      <c r="C32" s="30" t="s">
        <v>35</v>
      </c>
      <c r="D32" s="54" t="s">
        <v>36</v>
      </c>
      <c r="E32" s="54"/>
      <c r="F32" s="55"/>
      <c r="G32" s="54"/>
      <c r="H32" s="55"/>
    </row>
    <row r="33" spans="1:8" s="18" customFormat="1" ht="108.75" customHeight="1" x14ac:dyDescent="0.2">
      <c r="A33" s="23">
        <f>IF(C33=0,MAX($A$10:A32)+1," ")</f>
        <v>9</v>
      </c>
      <c r="B33" s="31"/>
      <c r="C33" s="32"/>
      <c r="D33" s="26" t="s">
        <v>44</v>
      </c>
      <c r="E33" s="33" t="s">
        <v>22</v>
      </c>
      <c r="F33" s="27">
        <f>7.2*27.6</f>
        <v>198.72000000000003</v>
      </c>
      <c r="G33" s="33"/>
      <c r="H33" s="77"/>
    </row>
    <row r="34" spans="1:8" s="18" customFormat="1" ht="25.5" x14ac:dyDescent="0.2">
      <c r="A34" s="23">
        <f>IF(C34=0,MAX($A$10:A33)+1," ")</f>
        <v>10</v>
      </c>
      <c r="B34" s="31"/>
      <c r="C34" s="32"/>
      <c r="D34" s="34" t="s">
        <v>45</v>
      </c>
      <c r="E34" s="33" t="s">
        <v>8</v>
      </c>
      <c r="F34" s="27">
        <f>25.2</f>
        <v>25.2</v>
      </c>
      <c r="G34" s="33"/>
      <c r="H34" s="77"/>
    </row>
    <row r="35" spans="1:8" s="18" customFormat="1" ht="16.5" thickBot="1" x14ac:dyDescent="0.25">
      <c r="A35" s="71">
        <f>IF(C35=0,MAX($A$10:A34)+1," ")</f>
        <v>11</v>
      </c>
      <c r="B35" s="72"/>
      <c r="C35" s="73"/>
      <c r="D35" s="78" t="s">
        <v>46</v>
      </c>
      <c r="E35" s="75" t="s">
        <v>21</v>
      </c>
      <c r="F35" s="79">
        <f>65.8*21.4-11.3*21.4+1.6*25.2</f>
        <v>1206.6199999999999</v>
      </c>
      <c r="G35" s="75"/>
      <c r="H35" s="83"/>
    </row>
    <row r="36" spans="1:8" ht="21" customHeight="1" thickBot="1" x14ac:dyDescent="0.25">
      <c r="F36" s="109" t="s">
        <v>267</v>
      </c>
      <c r="G36" s="141"/>
      <c r="H36" s="142"/>
    </row>
    <row r="41" spans="1:8" s="7" customFormat="1" x14ac:dyDescent="0.2">
      <c r="A41" s="1"/>
      <c r="B41" s="2"/>
      <c r="C41" s="2"/>
      <c r="D41" s="39"/>
      <c r="F41" s="3"/>
      <c r="G41" s="2"/>
    </row>
  </sheetData>
  <mergeCells count="14">
    <mergeCell ref="G36:H36"/>
    <mergeCell ref="A6:A8"/>
    <mergeCell ref="B6:B8"/>
    <mergeCell ref="C6:C8"/>
    <mergeCell ref="D6:D8"/>
    <mergeCell ref="E6:F6"/>
    <mergeCell ref="E7:E8"/>
    <mergeCell ref="F7:F8"/>
    <mergeCell ref="A3:H3"/>
    <mergeCell ref="A1:H1"/>
    <mergeCell ref="A4:H4"/>
    <mergeCell ref="G6:H6"/>
    <mergeCell ref="G7:G8"/>
    <mergeCell ref="H7:H8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71" fitToHeight="58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0CB53-81FB-4B1A-8B77-DE1A92495EE5}">
  <sheetPr>
    <tabColor rgb="FF92D050"/>
  </sheetPr>
  <dimension ref="A1:H40"/>
  <sheetViews>
    <sheetView view="pageBreakPreview" zoomScaleNormal="100" zoomScaleSheetLayoutView="100" workbookViewId="0">
      <selection activeCell="D27" sqref="D27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16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264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35"/>
      <c r="B8" s="128"/>
      <c r="C8" s="138"/>
      <c r="D8" s="138"/>
      <c r="E8" s="128"/>
      <c r="F8" s="130"/>
      <c r="G8" s="129"/>
      <c r="H8" s="131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92" t="str">
        <f>IF(C10=0,MAX(#REF!)+1," ")</f>
        <v xml:space="preserve"> </v>
      </c>
      <c r="B10" s="96"/>
      <c r="C10" s="68" t="s">
        <v>10</v>
      </c>
      <c r="D10" s="69" t="s">
        <v>11</v>
      </c>
      <c r="E10" s="69"/>
      <c r="F10" s="70"/>
      <c r="G10" s="69"/>
      <c r="H10" s="70"/>
    </row>
    <row r="11" spans="1:8" x14ac:dyDescent="0.2">
      <c r="A11" s="93" t="str">
        <f>IF(C11=0,MAX($A$10:A10)+1," ")</f>
        <v xml:space="preserve"> </v>
      </c>
      <c r="B11" s="97"/>
      <c r="C11" s="17" t="s">
        <v>15</v>
      </c>
      <c r="D11" s="56" t="s">
        <v>13</v>
      </c>
      <c r="E11" s="56"/>
      <c r="F11" s="57"/>
      <c r="G11" s="56"/>
      <c r="H11" s="57"/>
    </row>
    <row r="12" spans="1:8" x14ac:dyDescent="0.2">
      <c r="A12" s="94" t="str">
        <f>IF(C12=0,MAX($A$10:A11)+1," ")</f>
        <v xml:space="preserve"> </v>
      </c>
      <c r="B12" s="98" t="s">
        <v>7</v>
      </c>
      <c r="C12" s="30" t="s">
        <v>12</v>
      </c>
      <c r="D12" s="54" t="s">
        <v>19</v>
      </c>
      <c r="E12" s="54"/>
      <c r="F12" s="55"/>
      <c r="G12" s="54"/>
      <c r="H12" s="55"/>
    </row>
    <row r="13" spans="1:8" ht="15.75" x14ac:dyDescent="0.2">
      <c r="A13" s="95">
        <f>IF(C13=0,MAX($A$10:A11)+1," ")</f>
        <v>1</v>
      </c>
      <c r="B13" s="99"/>
      <c r="C13" s="25"/>
      <c r="D13" s="26" t="s">
        <v>16</v>
      </c>
      <c r="E13" s="25" t="s">
        <v>21</v>
      </c>
      <c r="F13" s="27">
        <f>66.6*17</f>
        <v>1132.1999999999998</v>
      </c>
      <c r="G13" s="25"/>
      <c r="H13" s="77"/>
    </row>
    <row r="14" spans="1:8" x14ac:dyDescent="0.2">
      <c r="A14" s="93" t="str">
        <f>IF(C14=0,MAX($A$10:A13)+1," ")</f>
        <v xml:space="preserve"> </v>
      </c>
      <c r="B14" s="97"/>
      <c r="C14" s="17" t="s">
        <v>14</v>
      </c>
      <c r="D14" s="56" t="s">
        <v>17</v>
      </c>
      <c r="E14" s="56"/>
      <c r="F14" s="57"/>
      <c r="G14" s="56"/>
      <c r="H14" s="57"/>
    </row>
    <row r="15" spans="1:8" x14ac:dyDescent="0.2">
      <c r="A15" s="94" t="str">
        <f>IF(C15=0,MAX($A$10:A14)+1," ")</f>
        <v xml:space="preserve"> </v>
      </c>
      <c r="B15" s="98" t="s">
        <v>7</v>
      </c>
      <c r="C15" s="30" t="s">
        <v>18</v>
      </c>
      <c r="D15" s="54" t="s">
        <v>128</v>
      </c>
      <c r="E15" s="54"/>
      <c r="F15" s="55"/>
      <c r="G15" s="54"/>
      <c r="H15" s="55"/>
    </row>
    <row r="16" spans="1:8" ht="15.75" x14ac:dyDescent="0.2">
      <c r="A16" s="95">
        <f>IF(C16=0,MAX($A$10:A14)+1," ")</f>
        <v>2</v>
      </c>
      <c r="B16" s="99"/>
      <c r="C16" s="25"/>
      <c r="D16" s="26" t="s">
        <v>129</v>
      </c>
      <c r="E16" s="25" t="s">
        <v>22</v>
      </c>
      <c r="F16" s="27">
        <f>6*(2*28.2+2*7.6)</f>
        <v>429.59999999999997</v>
      </c>
      <c r="G16" s="25"/>
      <c r="H16" s="77"/>
    </row>
    <row r="17" spans="1:8" s="10" customFormat="1" ht="15.75" x14ac:dyDescent="0.2">
      <c r="A17" s="92" t="str">
        <f>IF(C17=0,MAX(#REF!)+1," ")</f>
        <v xml:space="preserve"> </v>
      </c>
      <c r="B17" s="100"/>
      <c r="C17" s="14" t="s">
        <v>23</v>
      </c>
      <c r="D17" s="64" t="s">
        <v>24</v>
      </c>
      <c r="E17" s="64"/>
      <c r="F17" s="65"/>
      <c r="G17" s="64"/>
      <c r="H17" s="65"/>
    </row>
    <row r="18" spans="1:8" x14ac:dyDescent="0.2">
      <c r="A18" s="93" t="str">
        <f>IF(C18=0,MAX($A$10:A17)+1," ")</f>
        <v xml:space="preserve"> </v>
      </c>
      <c r="B18" s="97"/>
      <c r="C18" s="17" t="s">
        <v>25</v>
      </c>
      <c r="D18" s="56" t="s">
        <v>24</v>
      </c>
      <c r="E18" s="56"/>
      <c r="F18" s="57"/>
      <c r="G18" s="56"/>
      <c r="H18" s="57"/>
    </row>
    <row r="19" spans="1:8" x14ac:dyDescent="0.2">
      <c r="A19" s="94" t="str">
        <f>IF(C19=0,MAX($A$10:A18)+1," ")</f>
        <v xml:space="preserve"> </v>
      </c>
      <c r="B19" s="98" t="s">
        <v>27</v>
      </c>
      <c r="C19" s="30" t="s">
        <v>26</v>
      </c>
      <c r="D19" s="54" t="s">
        <v>28</v>
      </c>
      <c r="E19" s="54"/>
      <c r="F19" s="55"/>
      <c r="G19" s="54"/>
      <c r="H19" s="55"/>
    </row>
    <row r="20" spans="1:8" s="18" customFormat="1" x14ac:dyDescent="0.2">
      <c r="A20" s="95">
        <f>IF(C20=0,MAX($A$10:A19)+1," ")</f>
        <v>3</v>
      </c>
      <c r="B20" s="101"/>
      <c r="C20" s="32"/>
      <c r="D20" s="26" t="s">
        <v>29</v>
      </c>
      <c r="E20" s="33" t="s">
        <v>8</v>
      </c>
      <c r="F20" s="40">
        <f>5.47+6.55</f>
        <v>12.02</v>
      </c>
      <c r="G20" s="33"/>
      <c r="H20" s="77"/>
    </row>
    <row r="21" spans="1:8" ht="25.5" customHeight="1" x14ac:dyDescent="0.2">
      <c r="A21" s="94" t="str">
        <f>IF(C21=0,MAX($A$10:A20)+1," ")</f>
        <v xml:space="preserve"> </v>
      </c>
      <c r="B21" s="98" t="s">
        <v>27</v>
      </c>
      <c r="C21" s="30" t="s">
        <v>118</v>
      </c>
      <c r="D21" s="54" t="s">
        <v>115</v>
      </c>
      <c r="E21" s="54"/>
      <c r="F21" s="55"/>
      <c r="G21" s="54"/>
      <c r="H21" s="55"/>
    </row>
    <row r="22" spans="1:8" s="18" customFormat="1" ht="25.5" x14ac:dyDescent="0.2">
      <c r="A22" s="95">
        <f>IF(C22=0,MAX($A$10:A20)+1," ")</f>
        <v>4</v>
      </c>
      <c r="B22" s="101"/>
      <c r="C22" s="32"/>
      <c r="D22" s="34" t="s">
        <v>30</v>
      </c>
      <c r="E22" s="33" t="s">
        <v>22</v>
      </c>
      <c r="F22" s="27">
        <f>15.5*2</f>
        <v>31</v>
      </c>
      <c r="G22" s="33"/>
      <c r="H22" s="77"/>
    </row>
    <row r="23" spans="1:8" x14ac:dyDescent="0.2">
      <c r="A23" s="94" t="str">
        <f>IF(C23=0,MAX($A$10:A22)+1," ")</f>
        <v xml:space="preserve"> </v>
      </c>
      <c r="B23" s="98" t="s">
        <v>27</v>
      </c>
      <c r="C23" s="30" t="s">
        <v>32</v>
      </c>
      <c r="D23" s="54" t="s">
        <v>117</v>
      </c>
      <c r="E23" s="54"/>
      <c r="F23" s="55"/>
      <c r="G23" s="54"/>
      <c r="H23" s="55"/>
    </row>
    <row r="24" spans="1:8" s="18" customFormat="1" ht="15.75" x14ac:dyDescent="0.2">
      <c r="A24" s="95">
        <f>IF(C24=0,MAX($A$10:A22)+1," ")</f>
        <v>5</v>
      </c>
      <c r="B24" s="101"/>
      <c r="C24" s="32"/>
      <c r="D24" s="34" t="s">
        <v>31</v>
      </c>
      <c r="E24" s="33" t="s">
        <v>22</v>
      </c>
      <c r="F24" s="27">
        <f>4*33</f>
        <v>132</v>
      </c>
      <c r="G24" s="33"/>
      <c r="H24" s="77"/>
    </row>
    <row r="25" spans="1:8" x14ac:dyDescent="0.2">
      <c r="A25" s="93" t="str">
        <f>IF(C25=0,MAX($A$10:A24)+1," ")</f>
        <v xml:space="preserve"> </v>
      </c>
      <c r="B25" s="97"/>
      <c r="C25" s="17" t="s">
        <v>37</v>
      </c>
      <c r="D25" s="56" t="s">
        <v>38</v>
      </c>
      <c r="E25" s="56"/>
      <c r="F25" s="57"/>
      <c r="G25" s="56"/>
      <c r="H25" s="57"/>
    </row>
    <row r="26" spans="1:8" x14ac:dyDescent="0.2">
      <c r="A26" s="94" t="str">
        <f>IF(C26=0,MAX($A$10:A25)+1," ")</f>
        <v xml:space="preserve"> </v>
      </c>
      <c r="B26" s="98" t="s">
        <v>27</v>
      </c>
      <c r="C26" s="30" t="s">
        <v>41</v>
      </c>
      <c r="D26" s="54" t="s">
        <v>39</v>
      </c>
      <c r="E26" s="54"/>
      <c r="F26" s="55"/>
      <c r="G26" s="54"/>
      <c r="H26" s="55"/>
    </row>
    <row r="27" spans="1:8" s="18" customFormat="1" ht="24" customHeight="1" x14ac:dyDescent="0.2">
      <c r="A27" s="95">
        <f>IF(C27=0,MAX($A$10:A26)+1," ")</f>
        <v>6</v>
      </c>
      <c r="B27" s="101"/>
      <c r="C27" s="32"/>
      <c r="D27" s="26" t="s">
        <v>119</v>
      </c>
      <c r="E27" s="33" t="s">
        <v>40</v>
      </c>
      <c r="F27" s="35">
        <v>1</v>
      </c>
      <c r="G27" s="33"/>
      <c r="H27" s="77"/>
    </row>
    <row r="28" spans="1:8" x14ac:dyDescent="0.2">
      <c r="A28" s="94" t="str">
        <f>IF(C28=0,MAX($A$10:A27)+1," ")</f>
        <v xml:space="preserve"> </v>
      </c>
      <c r="B28" s="98" t="s">
        <v>27</v>
      </c>
      <c r="C28" s="30" t="s">
        <v>42</v>
      </c>
      <c r="D28" s="54" t="s">
        <v>43</v>
      </c>
      <c r="E28" s="54"/>
      <c r="F28" s="55"/>
      <c r="G28" s="54"/>
      <c r="H28" s="55"/>
    </row>
    <row r="29" spans="1:8" s="18" customFormat="1" x14ac:dyDescent="0.2">
      <c r="A29" s="95">
        <f>IF(C29=0,MAX($A$10:A28)+1," ")</f>
        <v>7</v>
      </c>
      <c r="B29" s="101"/>
      <c r="C29" s="32"/>
      <c r="D29" s="26" t="s">
        <v>43</v>
      </c>
      <c r="E29" s="33" t="s">
        <v>40</v>
      </c>
      <c r="F29" s="35">
        <v>1</v>
      </c>
      <c r="G29" s="33"/>
      <c r="H29" s="77"/>
    </row>
    <row r="30" spans="1:8" x14ac:dyDescent="0.2">
      <c r="A30" s="93" t="str">
        <f>IF(C30=0,MAX($A$10:A24)+1," ")</f>
        <v xml:space="preserve"> </v>
      </c>
      <c r="B30" s="97"/>
      <c r="C30" s="17" t="s">
        <v>33</v>
      </c>
      <c r="D30" s="56" t="s">
        <v>34</v>
      </c>
      <c r="E30" s="56"/>
      <c r="F30" s="57"/>
      <c r="G30" s="56"/>
      <c r="H30" s="57"/>
    </row>
    <row r="31" spans="1:8" x14ac:dyDescent="0.2">
      <c r="A31" s="94" t="str">
        <f>IF(C31=0,MAX($A$10:A30)+1," ")</f>
        <v xml:space="preserve"> </v>
      </c>
      <c r="B31" s="98" t="s">
        <v>9</v>
      </c>
      <c r="C31" s="30" t="s">
        <v>35</v>
      </c>
      <c r="D31" s="54" t="s">
        <v>36</v>
      </c>
      <c r="E31" s="54"/>
      <c r="F31" s="55"/>
      <c r="G31" s="54"/>
      <c r="H31" s="55"/>
    </row>
    <row r="32" spans="1:8" s="18" customFormat="1" ht="108.75" customHeight="1" x14ac:dyDescent="0.2">
      <c r="A32" s="95">
        <f>IF(C32=0,MAX($A$10:A31)+1," ")</f>
        <v>8</v>
      </c>
      <c r="B32" s="101"/>
      <c r="C32" s="32"/>
      <c r="D32" s="26" t="s">
        <v>44</v>
      </c>
      <c r="E32" s="33" t="s">
        <v>22</v>
      </c>
      <c r="F32" s="27">
        <f>7.2*27.2</f>
        <v>195.84</v>
      </c>
      <c r="G32" s="33"/>
      <c r="H32" s="77"/>
    </row>
    <row r="33" spans="1:8" s="18" customFormat="1" ht="25.5" x14ac:dyDescent="0.2">
      <c r="A33" s="95">
        <f>IF(C33=0,MAX($A$10:A32)+1," ")</f>
        <v>9</v>
      </c>
      <c r="B33" s="101"/>
      <c r="C33" s="32"/>
      <c r="D33" s="34" t="s">
        <v>45</v>
      </c>
      <c r="E33" s="33" t="s">
        <v>8</v>
      </c>
      <c r="F33" s="27">
        <f>24.8</f>
        <v>24.8</v>
      </c>
      <c r="G33" s="33"/>
      <c r="H33" s="77"/>
    </row>
    <row r="34" spans="1:8" s="18" customFormat="1" ht="16.5" thickBot="1" x14ac:dyDescent="0.25">
      <c r="A34" s="110">
        <f>IF(C34=0,MAX($A$10:A33)+1," ")</f>
        <v>10</v>
      </c>
      <c r="B34" s="102"/>
      <c r="C34" s="73"/>
      <c r="D34" s="78" t="s">
        <v>46</v>
      </c>
      <c r="E34" s="75" t="s">
        <v>21</v>
      </c>
      <c r="F34" s="79">
        <f>63.5*21-11.3*21+1.5*24.8</f>
        <v>1133.4000000000001</v>
      </c>
      <c r="G34" s="75"/>
      <c r="H34" s="83"/>
    </row>
    <row r="35" spans="1:8" ht="21" customHeight="1" thickBot="1" x14ac:dyDescent="0.25">
      <c r="F35" s="109" t="s">
        <v>267</v>
      </c>
      <c r="G35" s="141"/>
      <c r="H35" s="142"/>
    </row>
    <row r="40" spans="1:8" s="7" customFormat="1" x14ac:dyDescent="0.2">
      <c r="A40" s="1"/>
      <c r="B40" s="2"/>
      <c r="C40" s="2"/>
      <c r="D40" s="39"/>
      <c r="F40" s="3"/>
      <c r="G40" s="2"/>
    </row>
  </sheetData>
  <mergeCells count="14">
    <mergeCell ref="G35:H35"/>
    <mergeCell ref="A6:A8"/>
    <mergeCell ref="B6:B8"/>
    <mergeCell ref="C6:C8"/>
    <mergeCell ref="D6:D8"/>
    <mergeCell ref="E6:F6"/>
    <mergeCell ref="E7:E8"/>
    <mergeCell ref="F7:F8"/>
    <mergeCell ref="A3:H3"/>
    <mergeCell ref="A1:H1"/>
    <mergeCell ref="A4:H4"/>
    <mergeCell ref="G6:H6"/>
    <mergeCell ref="G7:G8"/>
    <mergeCell ref="H7:H8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71" fitToHeight="58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8870-9087-4AEB-A4C2-35FFA348852E}">
  <sheetPr>
    <tabColor rgb="FF92D050"/>
  </sheetPr>
  <dimension ref="A1:H126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55.710937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16.7109375" style="2" customWidth="1"/>
    <col min="9" max="16384" width="9.140625" style="2"/>
  </cols>
  <sheetData>
    <row r="1" spans="1:8" ht="20.100000000000001" customHeight="1" x14ac:dyDescent="0.2">
      <c r="A1" s="125" t="s">
        <v>265</v>
      </c>
      <c r="B1" s="125"/>
      <c r="C1" s="125"/>
      <c r="D1" s="125"/>
      <c r="E1" s="125"/>
      <c r="F1" s="125"/>
      <c r="G1" s="125"/>
      <c r="H1" s="125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40" t="s">
        <v>266</v>
      </c>
      <c r="B3" s="140"/>
      <c r="C3" s="140"/>
      <c r="D3" s="140"/>
      <c r="E3" s="140"/>
      <c r="F3" s="140"/>
      <c r="G3" s="140"/>
      <c r="H3" s="140"/>
    </row>
    <row r="4" spans="1:8" ht="21.75" customHeight="1" x14ac:dyDescent="0.2">
      <c r="A4" s="140" t="s">
        <v>268</v>
      </c>
      <c r="B4" s="140"/>
      <c r="C4" s="140"/>
      <c r="D4" s="140"/>
      <c r="E4" s="140"/>
      <c r="F4" s="140"/>
      <c r="G4" s="140"/>
      <c r="H4" s="140"/>
    </row>
    <row r="5" spans="1:8" ht="15" customHeight="1" thickBot="1" x14ac:dyDescent="0.25"/>
    <row r="6" spans="1:8" s="8" customFormat="1" ht="16.5" customHeight="1" thickBot="1" x14ac:dyDescent="0.25">
      <c r="A6" s="134" t="s">
        <v>0</v>
      </c>
      <c r="B6" s="136" t="s">
        <v>1</v>
      </c>
      <c r="C6" s="137" t="s">
        <v>2</v>
      </c>
      <c r="D6" s="137" t="s">
        <v>3</v>
      </c>
      <c r="E6" s="136" t="s">
        <v>4</v>
      </c>
      <c r="F6" s="139"/>
      <c r="G6" s="126" t="s">
        <v>254</v>
      </c>
      <c r="H6" s="127"/>
    </row>
    <row r="7" spans="1:8" s="8" customFormat="1" ht="15.75" customHeight="1" thickBot="1" x14ac:dyDescent="0.25">
      <c r="A7" s="135"/>
      <c r="B7" s="128"/>
      <c r="C7" s="138"/>
      <c r="D7" s="138"/>
      <c r="E7" s="128" t="s">
        <v>5</v>
      </c>
      <c r="F7" s="130" t="s">
        <v>6</v>
      </c>
      <c r="G7" s="128" t="s">
        <v>255</v>
      </c>
      <c r="H7" s="130" t="s">
        <v>256</v>
      </c>
    </row>
    <row r="8" spans="1:8" s="8" customFormat="1" ht="15.75" customHeight="1" thickBot="1" x14ac:dyDescent="0.25">
      <c r="A8" s="135"/>
      <c r="B8" s="128"/>
      <c r="C8" s="138"/>
      <c r="D8" s="138"/>
      <c r="E8" s="128"/>
      <c r="F8" s="130"/>
      <c r="G8" s="129"/>
      <c r="H8" s="131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66" t="str">
        <f>IF(C10=0,MAX(#REF!)+1," ")</f>
        <v xml:space="preserve"> </v>
      </c>
      <c r="B10" s="67"/>
      <c r="C10" s="68" t="s">
        <v>10</v>
      </c>
      <c r="D10" s="69" t="s">
        <v>11</v>
      </c>
      <c r="E10" s="69"/>
      <c r="F10" s="70"/>
      <c r="G10" s="69"/>
      <c r="H10" s="70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56" t="s">
        <v>13</v>
      </c>
      <c r="E11" s="56"/>
      <c r="F11" s="57"/>
      <c r="G11" s="56"/>
      <c r="H11" s="57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54" t="s">
        <v>19</v>
      </c>
      <c r="E12" s="54"/>
      <c r="F12" s="55"/>
      <c r="G12" s="54"/>
      <c r="H12" s="55"/>
    </row>
    <row r="13" spans="1:8" x14ac:dyDescent="0.2">
      <c r="A13" s="23">
        <f>IF(C13=0,MAX($A$10:A11)+1," ")</f>
        <v>1</v>
      </c>
      <c r="B13" s="24"/>
      <c r="C13" s="25"/>
      <c r="D13" s="46" t="s">
        <v>16</v>
      </c>
      <c r="E13" s="47" t="s">
        <v>71</v>
      </c>
      <c r="F13" s="48">
        <f>SUM(F14:F35)</f>
        <v>4648.6000000000013</v>
      </c>
      <c r="G13" s="47"/>
      <c r="H13" s="103"/>
    </row>
    <row r="14" spans="1:8" x14ac:dyDescent="0.2">
      <c r="A14" s="41"/>
      <c r="B14" s="43"/>
      <c r="C14" s="44"/>
      <c r="D14" s="42" t="s">
        <v>168</v>
      </c>
      <c r="E14" s="45" t="s">
        <v>71</v>
      </c>
      <c r="F14" s="49">
        <f>9.8*12</f>
        <v>117.60000000000001</v>
      </c>
      <c r="G14" s="45"/>
      <c r="H14" s="49"/>
    </row>
    <row r="15" spans="1:8" x14ac:dyDescent="0.2">
      <c r="A15" s="41"/>
      <c r="B15" s="43"/>
      <c r="C15" s="44"/>
      <c r="D15" s="42" t="s">
        <v>169</v>
      </c>
      <c r="E15" s="45" t="s">
        <v>71</v>
      </c>
      <c r="F15" s="49">
        <f>8.6*12</f>
        <v>103.19999999999999</v>
      </c>
      <c r="G15" s="45"/>
      <c r="H15" s="49"/>
    </row>
    <row r="16" spans="1:8" x14ac:dyDescent="0.2">
      <c r="A16" s="41"/>
      <c r="B16" s="43"/>
      <c r="C16" s="44"/>
      <c r="D16" s="42" t="s">
        <v>170</v>
      </c>
      <c r="E16" s="45" t="s">
        <v>71</v>
      </c>
      <c r="F16" s="49">
        <f>16.5*16</f>
        <v>264</v>
      </c>
      <c r="G16" s="45"/>
      <c r="H16" s="49"/>
    </row>
    <row r="17" spans="1:8" x14ac:dyDescent="0.2">
      <c r="A17" s="41"/>
      <c r="B17" s="43"/>
      <c r="C17" s="44"/>
      <c r="D17" s="42" t="s">
        <v>171</v>
      </c>
      <c r="E17" s="45" t="s">
        <v>71</v>
      </c>
      <c r="F17" s="49">
        <f>12.3*14.7</f>
        <v>180.81</v>
      </c>
      <c r="G17" s="45"/>
      <c r="H17" s="49"/>
    </row>
    <row r="18" spans="1:8" x14ac:dyDescent="0.2">
      <c r="A18" s="41"/>
      <c r="B18" s="43"/>
      <c r="C18" s="44"/>
      <c r="D18" s="42" t="s">
        <v>234</v>
      </c>
      <c r="E18" s="45" t="s">
        <v>71</v>
      </c>
      <c r="F18" s="49">
        <f>17.2*17.6</f>
        <v>302.72000000000003</v>
      </c>
      <c r="G18" s="45"/>
      <c r="H18" s="49"/>
    </row>
    <row r="19" spans="1:8" x14ac:dyDescent="0.2">
      <c r="A19" s="41"/>
      <c r="B19" s="43"/>
      <c r="C19" s="44"/>
      <c r="D19" s="42" t="s">
        <v>172</v>
      </c>
      <c r="E19" s="45" t="s">
        <v>71</v>
      </c>
      <c r="F19" s="49">
        <f>8.4*12.4</f>
        <v>104.16000000000001</v>
      </c>
      <c r="G19" s="45"/>
      <c r="H19" s="49"/>
    </row>
    <row r="20" spans="1:8" x14ac:dyDescent="0.2">
      <c r="A20" s="41"/>
      <c r="B20" s="43"/>
      <c r="C20" s="44"/>
      <c r="D20" s="42" t="s">
        <v>173</v>
      </c>
      <c r="E20" s="45" t="s">
        <v>71</v>
      </c>
      <c r="F20" s="49">
        <f>12*13.6</f>
        <v>163.19999999999999</v>
      </c>
      <c r="G20" s="45"/>
      <c r="H20" s="49"/>
    </row>
    <row r="21" spans="1:8" x14ac:dyDescent="0.2">
      <c r="A21" s="41"/>
      <c r="B21" s="43"/>
      <c r="C21" s="44"/>
      <c r="D21" s="42" t="s">
        <v>174</v>
      </c>
      <c r="E21" s="45" t="s">
        <v>71</v>
      </c>
      <c r="F21" s="49">
        <f>10.5*13.7</f>
        <v>143.85</v>
      </c>
      <c r="G21" s="45"/>
      <c r="H21" s="49"/>
    </row>
    <row r="22" spans="1:8" x14ac:dyDescent="0.2">
      <c r="A22" s="41"/>
      <c r="B22" s="43"/>
      <c r="C22" s="44"/>
      <c r="D22" s="42" t="s">
        <v>175</v>
      </c>
      <c r="E22" s="45" t="s">
        <v>71</v>
      </c>
      <c r="F22" s="49">
        <f>12.7*13.3</f>
        <v>168.91</v>
      </c>
      <c r="G22" s="45"/>
      <c r="H22" s="49"/>
    </row>
    <row r="23" spans="1:8" x14ac:dyDescent="0.2">
      <c r="A23" s="41"/>
      <c r="B23" s="43"/>
      <c r="C23" s="44"/>
      <c r="D23" s="42" t="s">
        <v>235</v>
      </c>
      <c r="E23" s="45" t="s">
        <v>71</v>
      </c>
      <c r="F23" s="49">
        <f>9.4*14</f>
        <v>131.6</v>
      </c>
      <c r="G23" s="45"/>
      <c r="H23" s="49"/>
    </row>
    <row r="24" spans="1:8" x14ac:dyDescent="0.2">
      <c r="A24" s="41"/>
      <c r="B24" s="43"/>
      <c r="C24" s="44"/>
      <c r="D24" s="42" t="s">
        <v>176</v>
      </c>
      <c r="E24" s="45" t="s">
        <v>71</v>
      </c>
      <c r="F24" s="49">
        <f>20.7*13</f>
        <v>269.09999999999997</v>
      </c>
      <c r="G24" s="45"/>
      <c r="H24" s="49"/>
    </row>
    <row r="25" spans="1:8" x14ac:dyDescent="0.2">
      <c r="A25" s="41"/>
      <c r="B25" s="43"/>
      <c r="C25" s="44"/>
      <c r="D25" s="42" t="s">
        <v>177</v>
      </c>
      <c r="E25" s="45" t="s">
        <v>71</v>
      </c>
      <c r="F25" s="49">
        <f>15.6*11.2</f>
        <v>174.72</v>
      </c>
      <c r="G25" s="45"/>
      <c r="H25" s="49"/>
    </row>
    <row r="26" spans="1:8" x14ac:dyDescent="0.2">
      <c r="A26" s="41"/>
      <c r="B26" s="43"/>
      <c r="C26" s="44"/>
      <c r="D26" s="42" t="s">
        <v>178</v>
      </c>
      <c r="E26" s="45" t="s">
        <v>71</v>
      </c>
      <c r="F26" s="49">
        <f>12.8*14.2</f>
        <v>181.76</v>
      </c>
      <c r="G26" s="45"/>
      <c r="H26" s="49"/>
    </row>
    <row r="27" spans="1:8" x14ac:dyDescent="0.2">
      <c r="A27" s="41"/>
      <c r="B27" s="43"/>
      <c r="C27" s="44"/>
      <c r="D27" s="42" t="s">
        <v>236</v>
      </c>
      <c r="E27" s="45" t="s">
        <v>71</v>
      </c>
      <c r="F27" s="49">
        <f>17.1*14</f>
        <v>239.40000000000003</v>
      </c>
      <c r="G27" s="45"/>
      <c r="H27" s="49"/>
    </row>
    <row r="28" spans="1:8" x14ac:dyDescent="0.2">
      <c r="A28" s="41"/>
      <c r="B28" s="43"/>
      <c r="C28" s="44"/>
      <c r="D28" s="42" t="s">
        <v>179</v>
      </c>
      <c r="E28" s="45" t="s">
        <v>71</v>
      </c>
      <c r="F28" s="49">
        <f>8.4*14.5</f>
        <v>121.80000000000001</v>
      </c>
      <c r="G28" s="45"/>
      <c r="H28" s="49"/>
    </row>
    <row r="29" spans="1:8" x14ac:dyDescent="0.2">
      <c r="A29" s="41"/>
      <c r="B29" s="43"/>
      <c r="C29" s="44"/>
      <c r="D29" s="42" t="s">
        <v>180</v>
      </c>
      <c r="E29" s="45" t="s">
        <v>71</v>
      </c>
      <c r="F29" s="49">
        <f>23*19</f>
        <v>437</v>
      </c>
      <c r="G29" s="45"/>
      <c r="H29" s="49"/>
    </row>
    <row r="30" spans="1:8" x14ac:dyDescent="0.2">
      <c r="A30" s="41"/>
      <c r="B30" s="43"/>
      <c r="C30" s="44"/>
      <c r="D30" s="42" t="s">
        <v>181</v>
      </c>
      <c r="E30" s="45" t="s">
        <v>71</v>
      </c>
      <c r="F30" s="49">
        <f>10.6*15.4</f>
        <v>163.24</v>
      </c>
      <c r="G30" s="45"/>
      <c r="H30" s="49"/>
    </row>
    <row r="31" spans="1:8" x14ac:dyDescent="0.2">
      <c r="A31" s="41"/>
      <c r="B31" s="43"/>
      <c r="C31" s="44"/>
      <c r="D31" s="42" t="s">
        <v>237</v>
      </c>
      <c r="E31" s="45" t="s">
        <v>71</v>
      </c>
      <c r="F31" s="49">
        <f>13.5*13.9</f>
        <v>187.65</v>
      </c>
      <c r="G31" s="45"/>
      <c r="H31" s="49"/>
    </row>
    <row r="32" spans="1:8" x14ac:dyDescent="0.2">
      <c r="A32" s="41"/>
      <c r="B32" s="43"/>
      <c r="C32" s="44"/>
      <c r="D32" s="42" t="s">
        <v>238</v>
      </c>
      <c r="E32" s="45" t="s">
        <v>71</v>
      </c>
      <c r="F32" s="49">
        <f>14.7*16.5</f>
        <v>242.54999999999998</v>
      </c>
      <c r="G32" s="45"/>
      <c r="H32" s="49"/>
    </row>
    <row r="33" spans="1:8" x14ac:dyDescent="0.2">
      <c r="A33" s="41"/>
      <c r="B33" s="43"/>
      <c r="C33" s="44"/>
      <c r="D33" s="42" t="s">
        <v>182</v>
      </c>
      <c r="E33" s="45" t="s">
        <v>71</v>
      </c>
      <c r="F33" s="49">
        <f>10.7*21.9</f>
        <v>234.32999999999996</v>
      </c>
      <c r="G33" s="45"/>
      <c r="H33" s="49"/>
    </row>
    <row r="34" spans="1:8" x14ac:dyDescent="0.2">
      <c r="A34" s="41"/>
      <c r="B34" s="43"/>
      <c r="C34" s="44"/>
      <c r="D34" s="42" t="s">
        <v>183</v>
      </c>
      <c r="E34" s="45" t="s">
        <v>71</v>
      </c>
      <c r="F34" s="49">
        <f>25.6*18.8</f>
        <v>481.28000000000003</v>
      </c>
      <c r="G34" s="45"/>
      <c r="H34" s="49"/>
    </row>
    <row r="35" spans="1:8" x14ac:dyDescent="0.2">
      <c r="A35" s="41"/>
      <c r="B35" s="43"/>
      <c r="C35" s="44"/>
      <c r="D35" s="42" t="s">
        <v>239</v>
      </c>
      <c r="E35" s="45" t="s">
        <v>71</v>
      </c>
      <c r="F35" s="49">
        <f>14.2*16.6</f>
        <v>235.72</v>
      </c>
      <c r="G35" s="45"/>
      <c r="H35" s="49"/>
    </row>
    <row r="36" spans="1:8" x14ac:dyDescent="0.2">
      <c r="A36" s="28" t="str">
        <f>IF(C36=0,MAX($A$10:A35)+1," ")</f>
        <v xml:space="preserve"> </v>
      </c>
      <c r="B36" s="29" t="s">
        <v>7</v>
      </c>
      <c r="C36" s="30" t="s">
        <v>47</v>
      </c>
      <c r="D36" s="54" t="s">
        <v>48</v>
      </c>
      <c r="E36" s="54"/>
      <c r="F36" s="55"/>
      <c r="G36" s="54"/>
      <c r="H36" s="55"/>
    </row>
    <row r="37" spans="1:8" ht="25.5" x14ac:dyDescent="0.2">
      <c r="A37" s="23">
        <f>IF(C37=0,MAX($A$10:A35)+1," ")</f>
        <v>2</v>
      </c>
      <c r="B37" s="24"/>
      <c r="C37" s="25"/>
      <c r="D37" s="46" t="s">
        <v>52</v>
      </c>
      <c r="E37" s="47" t="s">
        <v>71</v>
      </c>
      <c r="F37" s="48">
        <f>SUM(F38:F38)</f>
        <v>541.79999999999995</v>
      </c>
      <c r="G37" s="47"/>
      <c r="H37" s="103"/>
    </row>
    <row r="38" spans="1:8" x14ac:dyDescent="0.2">
      <c r="A38" s="41"/>
      <c r="B38" s="43"/>
      <c r="C38" s="44"/>
      <c r="D38" s="42" t="s">
        <v>176</v>
      </c>
      <c r="E38" s="45" t="s">
        <v>71</v>
      </c>
      <c r="F38" s="49">
        <f>4.3*6*21</f>
        <v>541.79999999999995</v>
      </c>
      <c r="G38" s="45"/>
      <c r="H38" s="49"/>
    </row>
    <row r="39" spans="1:8" s="10" customFormat="1" ht="15.75" x14ac:dyDescent="0.2">
      <c r="A39" s="12" t="str">
        <f>IF(C39=0,MAX(#REF!)+1," ")</f>
        <v xml:space="preserve"> </v>
      </c>
      <c r="B39" s="13"/>
      <c r="C39" s="14" t="s">
        <v>23</v>
      </c>
      <c r="D39" s="64" t="s">
        <v>24</v>
      </c>
      <c r="E39" s="64"/>
      <c r="F39" s="65"/>
      <c r="G39" s="64"/>
      <c r="H39" s="65"/>
    </row>
    <row r="40" spans="1:8" x14ac:dyDescent="0.2">
      <c r="A40" s="15" t="str">
        <f>IF(C40=0,MAX($A$10:A39)+1," ")</f>
        <v xml:space="preserve"> </v>
      </c>
      <c r="B40" s="16"/>
      <c r="C40" s="17" t="s">
        <v>25</v>
      </c>
      <c r="D40" s="56" t="s">
        <v>24</v>
      </c>
      <c r="E40" s="56"/>
      <c r="F40" s="57"/>
      <c r="G40" s="56"/>
      <c r="H40" s="57"/>
    </row>
    <row r="41" spans="1:8" ht="12.75" customHeight="1" x14ac:dyDescent="0.2">
      <c r="A41" s="28" t="str">
        <f>IF(C41=0,MAX($A$10:A40)+1," ")</f>
        <v xml:space="preserve"> </v>
      </c>
      <c r="B41" s="29" t="s">
        <v>27</v>
      </c>
      <c r="C41" s="30" t="s">
        <v>118</v>
      </c>
      <c r="D41" s="54" t="s">
        <v>115</v>
      </c>
      <c r="E41" s="54"/>
      <c r="F41" s="55"/>
      <c r="G41" s="54"/>
      <c r="H41" s="55"/>
    </row>
    <row r="42" spans="1:8" s="18" customFormat="1" ht="25.5" x14ac:dyDescent="0.2">
      <c r="A42" s="23">
        <f>IF(C42=0,MAX($A$10:A40)+1," ")</f>
        <v>3</v>
      </c>
      <c r="B42" s="31"/>
      <c r="C42" s="32"/>
      <c r="D42" s="34" t="s">
        <v>30</v>
      </c>
      <c r="E42" s="33" t="s">
        <v>22</v>
      </c>
      <c r="F42" s="27">
        <f>8*19*2</f>
        <v>304</v>
      </c>
      <c r="G42" s="33"/>
      <c r="H42" s="103"/>
    </row>
    <row r="43" spans="1:8" x14ac:dyDescent="0.2">
      <c r="A43" s="15" t="str">
        <f>IF(C43=0,MAX($A$10:A42)+1," ")</f>
        <v xml:space="preserve"> </v>
      </c>
      <c r="B43" s="16"/>
      <c r="C43" s="17" t="s">
        <v>37</v>
      </c>
      <c r="D43" s="56" t="s">
        <v>38</v>
      </c>
      <c r="E43" s="56"/>
      <c r="F43" s="57"/>
      <c r="G43" s="56"/>
      <c r="H43" s="57"/>
    </row>
    <row r="44" spans="1:8" x14ac:dyDescent="0.2">
      <c r="A44" s="28" t="str">
        <f>IF(C44=0,MAX($A$10:A43)+1," ")</f>
        <v xml:space="preserve"> </v>
      </c>
      <c r="B44" s="29" t="s">
        <v>27</v>
      </c>
      <c r="C44" s="30" t="s">
        <v>41</v>
      </c>
      <c r="D44" s="54" t="s">
        <v>39</v>
      </c>
      <c r="E44" s="54"/>
      <c r="F44" s="55"/>
      <c r="G44" s="54"/>
      <c r="H44" s="55"/>
    </row>
    <row r="45" spans="1:8" s="18" customFormat="1" ht="17.25" customHeight="1" x14ac:dyDescent="0.2">
      <c r="A45" s="23">
        <f>IF(C45=0,MAX($A$10:A44)+1," ")</f>
        <v>4</v>
      </c>
      <c r="B45" s="31"/>
      <c r="C45" s="32"/>
      <c r="D45" s="26" t="s">
        <v>119</v>
      </c>
      <c r="E45" s="33" t="s">
        <v>40</v>
      </c>
      <c r="F45" s="35">
        <v>19</v>
      </c>
      <c r="G45" s="33"/>
      <c r="H45" s="103"/>
    </row>
    <row r="46" spans="1:8" x14ac:dyDescent="0.2">
      <c r="A46" s="28" t="str">
        <f>IF(C46=0,MAX($A$10:A45)+1," ")</f>
        <v xml:space="preserve"> </v>
      </c>
      <c r="B46" s="29" t="s">
        <v>27</v>
      </c>
      <c r="C46" s="30" t="s">
        <v>42</v>
      </c>
      <c r="D46" s="54" t="s">
        <v>43</v>
      </c>
      <c r="E46" s="54"/>
      <c r="F46" s="55"/>
      <c r="G46" s="54"/>
      <c r="H46" s="55"/>
    </row>
    <row r="47" spans="1:8" s="18" customFormat="1" x14ac:dyDescent="0.2">
      <c r="A47" s="23">
        <f>IF(C47=0,MAX($A$10:A46)+1," ")</f>
        <v>5</v>
      </c>
      <c r="B47" s="31"/>
      <c r="C47" s="32"/>
      <c r="D47" s="26" t="s">
        <v>43</v>
      </c>
      <c r="E47" s="33" t="s">
        <v>40</v>
      </c>
      <c r="F47" s="35">
        <v>22</v>
      </c>
      <c r="G47" s="33"/>
      <c r="H47" s="103"/>
    </row>
    <row r="48" spans="1:8" x14ac:dyDescent="0.2">
      <c r="A48" s="15" t="str">
        <f>IF(C48=0,MAX($A$10:A42)+1," ")</f>
        <v xml:space="preserve"> </v>
      </c>
      <c r="B48" s="16"/>
      <c r="C48" s="17" t="s">
        <v>33</v>
      </c>
      <c r="D48" s="56" t="s">
        <v>34</v>
      </c>
      <c r="E48" s="56"/>
      <c r="F48" s="57"/>
      <c r="G48" s="56"/>
      <c r="H48" s="57"/>
    </row>
    <row r="49" spans="1:8" x14ac:dyDescent="0.2">
      <c r="A49" s="28" t="str">
        <f>IF(C49=0,MAX($A$10:A48)+1," ")</f>
        <v xml:space="preserve"> </v>
      </c>
      <c r="B49" s="29" t="s">
        <v>9</v>
      </c>
      <c r="C49" s="30" t="s">
        <v>35</v>
      </c>
      <c r="D49" s="54" t="s">
        <v>36</v>
      </c>
      <c r="E49" s="54"/>
      <c r="F49" s="55"/>
      <c r="G49" s="54"/>
      <c r="H49" s="55"/>
    </row>
    <row r="50" spans="1:8" s="18" customFormat="1" ht="108.75" customHeight="1" x14ac:dyDescent="0.2">
      <c r="A50" s="23">
        <f>IF(C50=0,MAX($A$10:A49)+1," ")</f>
        <v>6</v>
      </c>
      <c r="B50" s="31"/>
      <c r="C50" s="32"/>
      <c r="D50" s="46" t="s">
        <v>44</v>
      </c>
      <c r="E50" s="50" t="s">
        <v>106</v>
      </c>
      <c r="F50" s="48">
        <f>SUM(F51:F72)</f>
        <v>847.80000000000007</v>
      </c>
      <c r="G50" s="50"/>
      <c r="H50" s="103"/>
    </row>
    <row r="51" spans="1:8" x14ac:dyDescent="0.2">
      <c r="A51" s="41"/>
      <c r="B51" s="43"/>
      <c r="C51" s="44"/>
      <c r="D51" s="42" t="s">
        <v>168</v>
      </c>
      <c r="E51" s="45" t="s">
        <v>106</v>
      </c>
      <c r="F51" s="49">
        <f>2*16</f>
        <v>32</v>
      </c>
      <c r="G51" s="45"/>
      <c r="H51" s="49"/>
    </row>
    <row r="52" spans="1:8" x14ac:dyDescent="0.2">
      <c r="A52" s="41"/>
      <c r="B52" s="43"/>
      <c r="C52" s="44"/>
      <c r="D52" s="42" t="s">
        <v>169</v>
      </c>
      <c r="E52" s="45" t="s">
        <v>106</v>
      </c>
      <c r="F52" s="49">
        <f>2*16</f>
        <v>32</v>
      </c>
      <c r="G52" s="45"/>
      <c r="H52" s="49"/>
    </row>
    <row r="53" spans="1:8" x14ac:dyDescent="0.2">
      <c r="A53" s="41"/>
      <c r="B53" s="43"/>
      <c r="C53" s="44"/>
      <c r="D53" s="42" t="s">
        <v>170</v>
      </c>
      <c r="E53" s="45" t="s">
        <v>106</v>
      </c>
      <c r="F53" s="49">
        <f>2*19</f>
        <v>38</v>
      </c>
      <c r="G53" s="45"/>
      <c r="H53" s="49"/>
    </row>
    <row r="54" spans="1:8" x14ac:dyDescent="0.2">
      <c r="A54" s="41"/>
      <c r="B54" s="43"/>
      <c r="C54" s="44"/>
      <c r="D54" s="42" t="s">
        <v>171</v>
      </c>
      <c r="E54" s="45" t="s">
        <v>106</v>
      </c>
      <c r="F54" s="49">
        <f>2*17.8</f>
        <v>35.6</v>
      </c>
      <c r="G54" s="45"/>
      <c r="H54" s="49"/>
    </row>
    <row r="55" spans="1:8" x14ac:dyDescent="0.2">
      <c r="A55" s="41"/>
      <c r="B55" s="43"/>
      <c r="C55" s="44"/>
      <c r="D55" s="42" t="s">
        <v>234</v>
      </c>
      <c r="E55" s="45" t="s">
        <v>106</v>
      </c>
      <c r="F55" s="49">
        <f>3*19</f>
        <v>57</v>
      </c>
      <c r="G55" s="45"/>
      <c r="H55" s="49"/>
    </row>
    <row r="56" spans="1:8" x14ac:dyDescent="0.2">
      <c r="A56" s="41"/>
      <c r="B56" s="43"/>
      <c r="C56" s="44"/>
      <c r="D56" s="42" t="s">
        <v>172</v>
      </c>
      <c r="E56" s="45" t="s">
        <v>106</v>
      </c>
      <c r="F56" s="49">
        <f>2*16.5</f>
        <v>33</v>
      </c>
      <c r="G56" s="45"/>
      <c r="H56" s="49"/>
    </row>
    <row r="57" spans="1:8" x14ac:dyDescent="0.2">
      <c r="A57" s="41"/>
      <c r="B57" s="43"/>
      <c r="C57" s="44"/>
      <c r="D57" s="42" t="s">
        <v>173</v>
      </c>
      <c r="E57" s="45" t="s">
        <v>106</v>
      </c>
      <c r="F57" s="49">
        <f>2*17</f>
        <v>34</v>
      </c>
      <c r="G57" s="45"/>
      <c r="H57" s="49"/>
    </row>
    <row r="58" spans="1:8" x14ac:dyDescent="0.2">
      <c r="A58" s="41"/>
      <c r="B58" s="43"/>
      <c r="C58" s="44"/>
      <c r="D58" s="42" t="s">
        <v>174</v>
      </c>
      <c r="E58" s="45" t="s">
        <v>106</v>
      </c>
      <c r="F58" s="49">
        <f>2*16.8</f>
        <v>33.6</v>
      </c>
      <c r="G58" s="45"/>
      <c r="H58" s="49"/>
    </row>
    <row r="59" spans="1:8" x14ac:dyDescent="0.2">
      <c r="A59" s="41"/>
      <c r="B59" s="43"/>
      <c r="C59" s="44"/>
      <c r="D59" s="42" t="s">
        <v>175</v>
      </c>
      <c r="E59" s="45" t="s">
        <v>106</v>
      </c>
      <c r="F59" s="49">
        <f>2*17.5</f>
        <v>35</v>
      </c>
      <c r="G59" s="45"/>
      <c r="H59" s="49"/>
    </row>
    <row r="60" spans="1:8" x14ac:dyDescent="0.2">
      <c r="A60" s="41"/>
      <c r="B60" s="43"/>
      <c r="C60" s="44"/>
      <c r="D60" s="42" t="s">
        <v>235</v>
      </c>
      <c r="E60" s="45" t="s">
        <v>106</v>
      </c>
      <c r="F60" s="49">
        <f>2*15.5</f>
        <v>31</v>
      </c>
      <c r="G60" s="45"/>
      <c r="H60" s="49"/>
    </row>
    <row r="61" spans="1:8" x14ac:dyDescent="0.2">
      <c r="A61" s="41"/>
      <c r="B61" s="43"/>
      <c r="C61" s="44"/>
      <c r="D61" s="42" t="s">
        <v>176</v>
      </c>
      <c r="E61" s="45" t="s">
        <v>106</v>
      </c>
      <c r="F61" s="49">
        <f>2*20</f>
        <v>40</v>
      </c>
      <c r="G61" s="45"/>
      <c r="H61" s="49"/>
    </row>
    <row r="62" spans="1:8" x14ac:dyDescent="0.2">
      <c r="A62" s="41"/>
      <c r="B62" s="43"/>
      <c r="C62" s="44"/>
      <c r="D62" s="42" t="s">
        <v>177</v>
      </c>
      <c r="E62" s="45" t="s">
        <v>106</v>
      </c>
      <c r="F62" s="49">
        <f>2*18.5</f>
        <v>37</v>
      </c>
      <c r="G62" s="45"/>
      <c r="H62" s="49"/>
    </row>
    <row r="63" spans="1:8" x14ac:dyDescent="0.2">
      <c r="A63" s="41"/>
      <c r="B63" s="43"/>
      <c r="C63" s="44"/>
      <c r="D63" s="42" t="s">
        <v>178</v>
      </c>
      <c r="E63" s="45" t="s">
        <v>106</v>
      </c>
      <c r="F63" s="49">
        <f>2*19</f>
        <v>38</v>
      </c>
      <c r="G63" s="45"/>
      <c r="H63" s="49"/>
    </row>
    <row r="64" spans="1:8" x14ac:dyDescent="0.2">
      <c r="A64" s="41"/>
      <c r="B64" s="43"/>
      <c r="C64" s="44"/>
      <c r="D64" s="42" t="s">
        <v>236</v>
      </c>
      <c r="E64" s="45" t="s">
        <v>106</v>
      </c>
      <c r="F64" s="49">
        <f>3*16.5</f>
        <v>49.5</v>
      </c>
      <c r="G64" s="45"/>
      <c r="H64" s="49"/>
    </row>
    <row r="65" spans="1:8" x14ac:dyDescent="0.2">
      <c r="A65" s="41"/>
      <c r="B65" s="43"/>
      <c r="C65" s="44"/>
      <c r="D65" s="42" t="s">
        <v>179</v>
      </c>
      <c r="E65" s="45" t="s">
        <v>106</v>
      </c>
      <c r="F65" s="49">
        <f>2*15.5</f>
        <v>31</v>
      </c>
      <c r="G65" s="45"/>
      <c r="H65" s="49"/>
    </row>
    <row r="66" spans="1:8" x14ac:dyDescent="0.2">
      <c r="A66" s="41"/>
      <c r="B66" s="43"/>
      <c r="C66" s="44"/>
      <c r="D66" s="42" t="s">
        <v>180</v>
      </c>
      <c r="E66" s="45" t="s">
        <v>106</v>
      </c>
      <c r="F66" s="49">
        <f>2*26</f>
        <v>52</v>
      </c>
      <c r="G66" s="45"/>
      <c r="H66" s="49"/>
    </row>
    <row r="67" spans="1:8" x14ac:dyDescent="0.2">
      <c r="A67" s="41"/>
      <c r="B67" s="43"/>
      <c r="C67" s="44"/>
      <c r="D67" s="42" t="s">
        <v>181</v>
      </c>
      <c r="E67" s="45" t="s">
        <v>106</v>
      </c>
      <c r="F67" s="49">
        <f>2*16.5</f>
        <v>33</v>
      </c>
      <c r="G67" s="45"/>
      <c r="H67" s="49"/>
    </row>
    <row r="68" spans="1:8" x14ac:dyDescent="0.2">
      <c r="A68" s="41"/>
      <c r="B68" s="43"/>
      <c r="C68" s="44"/>
      <c r="D68" s="42" t="s">
        <v>237</v>
      </c>
      <c r="E68" s="45" t="s">
        <v>106</v>
      </c>
      <c r="F68" s="49">
        <f>2*17.5</f>
        <v>35</v>
      </c>
      <c r="G68" s="45"/>
      <c r="H68" s="49"/>
    </row>
    <row r="69" spans="1:8" x14ac:dyDescent="0.2">
      <c r="A69" s="41"/>
      <c r="B69" s="43"/>
      <c r="C69" s="44"/>
      <c r="D69" s="42" t="s">
        <v>238</v>
      </c>
      <c r="E69" s="45" t="s">
        <v>106</v>
      </c>
      <c r="F69" s="49">
        <f>3*16.5</f>
        <v>49.5</v>
      </c>
      <c r="G69" s="45"/>
      <c r="H69" s="49"/>
    </row>
    <row r="70" spans="1:8" x14ac:dyDescent="0.2">
      <c r="A70" s="41"/>
      <c r="B70" s="43"/>
      <c r="C70" s="44"/>
      <c r="D70" s="42" t="s">
        <v>182</v>
      </c>
      <c r="E70" s="45" t="s">
        <v>106</v>
      </c>
      <c r="F70" s="49">
        <f>2*23</f>
        <v>46</v>
      </c>
      <c r="G70" s="45"/>
      <c r="H70" s="49"/>
    </row>
    <row r="71" spans="1:8" x14ac:dyDescent="0.2">
      <c r="A71" s="41"/>
      <c r="B71" s="43"/>
      <c r="C71" s="44"/>
      <c r="D71" s="42" t="s">
        <v>183</v>
      </c>
      <c r="E71" s="45" t="s">
        <v>106</v>
      </c>
      <c r="F71" s="49">
        <f>2*20</f>
        <v>40</v>
      </c>
      <c r="G71" s="45"/>
      <c r="H71" s="49"/>
    </row>
    <row r="72" spans="1:8" x14ac:dyDescent="0.2">
      <c r="A72" s="53"/>
      <c r="B72" s="121"/>
      <c r="C72" s="122"/>
      <c r="D72" s="118" t="s">
        <v>239</v>
      </c>
      <c r="E72" s="123" t="s">
        <v>106</v>
      </c>
      <c r="F72" s="124">
        <f>2*17.8</f>
        <v>35.6</v>
      </c>
      <c r="G72" s="123"/>
      <c r="H72" s="124"/>
    </row>
    <row r="73" spans="1:8" s="18" customFormat="1" ht="25.5" x14ac:dyDescent="0.2">
      <c r="A73" s="115">
        <v>7</v>
      </c>
      <c r="B73" s="116"/>
      <c r="C73" s="117"/>
      <c r="D73" s="118" t="s">
        <v>184</v>
      </c>
      <c r="E73" s="119" t="s">
        <v>8</v>
      </c>
      <c r="F73" s="120">
        <f>SUM(F74:F92)</f>
        <v>325.18</v>
      </c>
      <c r="G73" s="119"/>
      <c r="H73" s="120"/>
    </row>
    <row r="74" spans="1:8" x14ac:dyDescent="0.2">
      <c r="A74" s="41"/>
      <c r="B74" s="43"/>
      <c r="C74" s="44"/>
      <c r="D74" s="42" t="s">
        <v>240</v>
      </c>
      <c r="E74" s="45" t="s">
        <v>8</v>
      </c>
      <c r="F74" s="113">
        <v>14.8</v>
      </c>
      <c r="G74" s="45"/>
      <c r="H74" s="77"/>
    </row>
    <row r="75" spans="1:8" x14ac:dyDescent="0.2">
      <c r="A75" s="41"/>
      <c r="B75" s="43"/>
      <c r="C75" s="44"/>
      <c r="D75" s="42" t="s">
        <v>241</v>
      </c>
      <c r="E75" s="45" t="s">
        <v>8</v>
      </c>
      <c r="F75" s="113">
        <v>14.73</v>
      </c>
      <c r="G75" s="45"/>
      <c r="H75" s="49"/>
    </row>
    <row r="76" spans="1:8" x14ac:dyDescent="0.2">
      <c r="A76" s="41"/>
      <c r="B76" s="43"/>
      <c r="C76" s="44"/>
      <c r="D76" s="42" t="s">
        <v>185</v>
      </c>
      <c r="E76" s="45" t="s">
        <v>8</v>
      </c>
      <c r="F76" s="113">
        <v>18.04</v>
      </c>
      <c r="G76" s="45"/>
      <c r="H76" s="49"/>
    </row>
    <row r="77" spans="1:8" x14ac:dyDescent="0.2">
      <c r="A77" s="41"/>
      <c r="B77" s="43"/>
      <c r="C77" s="44"/>
      <c r="D77" s="42" t="s">
        <v>186</v>
      </c>
      <c r="E77" s="45" t="s">
        <v>8</v>
      </c>
      <c r="F77" s="113">
        <v>16.760000000000002</v>
      </c>
      <c r="G77" s="45"/>
      <c r="H77" s="49"/>
    </row>
    <row r="78" spans="1:8" x14ac:dyDescent="0.2">
      <c r="A78" s="41"/>
      <c r="B78" s="43"/>
      <c r="C78" s="44"/>
      <c r="D78" s="42" t="s">
        <v>242</v>
      </c>
      <c r="E78" s="45" t="s">
        <v>8</v>
      </c>
      <c r="F78" s="113">
        <v>15.33</v>
      </c>
      <c r="G78" s="45"/>
      <c r="H78" s="49"/>
    </row>
    <row r="79" spans="1:8" x14ac:dyDescent="0.2">
      <c r="A79" s="41"/>
      <c r="B79" s="43"/>
      <c r="C79" s="44"/>
      <c r="D79" s="42" t="s">
        <v>187</v>
      </c>
      <c r="E79" s="45" t="s">
        <v>8</v>
      </c>
      <c r="F79" s="113">
        <v>16.03</v>
      </c>
      <c r="G79" s="45"/>
      <c r="H79" s="49"/>
    </row>
    <row r="80" spans="1:8" x14ac:dyDescent="0.2">
      <c r="A80" s="41"/>
      <c r="B80" s="43"/>
      <c r="C80" s="44"/>
      <c r="D80" s="42" t="s">
        <v>188</v>
      </c>
      <c r="E80" s="45" t="s">
        <v>8</v>
      </c>
      <c r="F80" s="113">
        <v>15.72</v>
      </c>
      <c r="G80" s="45"/>
      <c r="H80" s="49"/>
    </row>
    <row r="81" spans="1:8" x14ac:dyDescent="0.2">
      <c r="A81" s="41"/>
      <c r="B81" s="43"/>
      <c r="C81" s="44"/>
      <c r="D81" s="42" t="s">
        <v>189</v>
      </c>
      <c r="E81" s="45" t="s">
        <v>8</v>
      </c>
      <c r="F81" s="113">
        <v>16.43</v>
      </c>
      <c r="G81" s="45"/>
      <c r="H81" s="49"/>
    </row>
    <row r="82" spans="1:8" x14ac:dyDescent="0.2">
      <c r="A82" s="41"/>
      <c r="B82" s="43"/>
      <c r="C82" s="44"/>
      <c r="D82" s="42" t="s">
        <v>243</v>
      </c>
      <c r="E82" s="45" t="s">
        <v>8</v>
      </c>
      <c r="F82" s="113">
        <v>14.44</v>
      </c>
      <c r="G82" s="45"/>
      <c r="H82" s="49"/>
    </row>
    <row r="83" spans="1:8" x14ac:dyDescent="0.2">
      <c r="A83" s="41"/>
      <c r="B83" s="43"/>
      <c r="C83" s="44"/>
      <c r="D83" s="42" t="s">
        <v>244</v>
      </c>
      <c r="E83" s="45" t="s">
        <v>8</v>
      </c>
      <c r="F83" s="113">
        <v>18.920000000000002</v>
      </c>
      <c r="G83" s="45"/>
      <c r="H83" s="49"/>
    </row>
    <row r="84" spans="1:8" x14ac:dyDescent="0.2">
      <c r="A84" s="41"/>
      <c r="B84" s="43"/>
      <c r="C84" s="44"/>
      <c r="D84" s="42" t="s">
        <v>245</v>
      </c>
      <c r="E84" s="45" t="s">
        <v>8</v>
      </c>
      <c r="F84" s="113">
        <v>17.420000000000002</v>
      </c>
      <c r="G84" s="45"/>
      <c r="H84" s="49"/>
    </row>
    <row r="85" spans="1:8" x14ac:dyDescent="0.2">
      <c r="A85" s="41"/>
      <c r="B85" s="43"/>
      <c r="C85" s="44"/>
      <c r="D85" s="42" t="s">
        <v>190</v>
      </c>
      <c r="E85" s="45" t="s">
        <v>8</v>
      </c>
      <c r="F85" s="113">
        <v>18.07</v>
      </c>
      <c r="G85" s="45"/>
      <c r="H85" s="49"/>
    </row>
    <row r="86" spans="1:8" x14ac:dyDescent="0.2">
      <c r="A86" s="41"/>
      <c r="B86" s="43"/>
      <c r="C86" s="44"/>
      <c r="D86" s="42" t="s">
        <v>191</v>
      </c>
      <c r="E86" s="45" t="s">
        <v>8</v>
      </c>
      <c r="F86" s="113">
        <v>14.51</v>
      </c>
      <c r="G86" s="45"/>
      <c r="H86" s="49"/>
    </row>
    <row r="87" spans="1:8" x14ac:dyDescent="0.2">
      <c r="A87" s="41"/>
      <c r="B87" s="43"/>
      <c r="C87" s="44"/>
      <c r="D87" s="42" t="s">
        <v>246</v>
      </c>
      <c r="E87" s="45" t="s">
        <v>8</v>
      </c>
      <c r="F87" s="113">
        <v>24.82</v>
      </c>
      <c r="G87" s="45"/>
      <c r="H87" s="49"/>
    </row>
    <row r="88" spans="1:8" x14ac:dyDescent="0.2">
      <c r="A88" s="41"/>
      <c r="B88" s="43"/>
      <c r="C88" s="44"/>
      <c r="D88" s="42" t="s">
        <v>192</v>
      </c>
      <c r="E88" s="45" t="s">
        <v>8</v>
      </c>
      <c r="F88" s="113">
        <v>15.41</v>
      </c>
      <c r="G88" s="45"/>
      <c r="H88" s="49"/>
    </row>
    <row r="89" spans="1:8" x14ac:dyDescent="0.2">
      <c r="A89" s="41"/>
      <c r="B89" s="43"/>
      <c r="C89" s="44"/>
      <c r="D89" s="42" t="s">
        <v>247</v>
      </c>
      <c r="E89" s="45" t="s">
        <v>8</v>
      </c>
      <c r="F89" s="113">
        <v>16.440000000000001</v>
      </c>
      <c r="G89" s="45"/>
      <c r="H89" s="49"/>
    </row>
    <row r="90" spans="1:8" x14ac:dyDescent="0.2">
      <c r="A90" s="41"/>
      <c r="B90" s="43"/>
      <c r="C90" s="44"/>
      <c r="D90" s="42" t="s">
        <v>193</v>
      </c>
      <c r="E90" s="45" t="s">
        <v>8</v>
      </c>
      <c r="F90" s="113">
        <v>21.89</v>
      </c>
      <c r="G90" s="45"/>
      <c r="H90" s="49"/>
    </row>
    <row r="91" spans="1:8" x14ac:dyDescent="0.2">
      <c r="A91" s="41"/>
      <c r="B91" s="43"/>
      <c r="C91" s="44"/>
      <c r="D91" s="42" t="s">
        <v>248</v>
      </c>
      <c r="E91" s="45" t="s">
        <v>8</v>
      </c>
      <c r="F91" s="113">
        <v>18.75</v>
      </c>
      <c r="G91" s="45"/>
      <c r="H91" s="49"/>
    </row>
    <row r="92" spans="1:8" x14ac:dyDescent="0.2">
      <c r="A92" s="41"/>
      <c r="B92" s="43"/>
      <c r="C92" s="44"/>
      <c r="D92" s="42" t="s">
        <v>249</v>
      </c>
      <c r="E92" s="45" t="s">
        <v>8</v>
      </c>
      <c r="F92" s="113">
        <v>16.670000000000002</v>
      </c>
      <c r="G92" s="45"/>
      <c r="H92" s="104"/>
    </row>
    <row r="93" spans="1:8" s="18" customFormat="1" x14ac:dyDescent="0.2">
      <c r="A93" s="23">
        <v>8</v>
      </c>
      <c r="B93" s="31"/>
      <c r="C93" s="32"/>
      <c r="D93" s="51" t="s">
        <v>46</v>
      </c>
      <c r="E93" s="50" t="s">
        <v>71</v>
      </c>
      <c r="F93" s="48">
        <f>SUM(F94:F115)</f>
        <v>4404.6004000000003</v>
      </c>
      <c r="G93" s="50"/>
      <c r="H93" s="103"/>
    </row>
    <row r="94" spans="1:8" x14ac:dyDescent="0.2">
      <c r="A94" s="41"/>
      <c r="B94" s="43"/>
      <c r="C94" s="44"/>
      <c r="D94" s="42" t="s">
        <v>168</v>
      </c>
      <c r="E94" s="45" t="s">
        <v>71</v>
      </c>
      <c r="F94" s="49">
        <f>F14-0.5*F74</f>
        <v>110.2</v>
      </c>
      <c r="G94" s="45"/>
      <c r="H94" s="49"/>
    </row>
    <row r="95" spans="1:8" x14ac:dyDescent="0.2">
      <c r="A95" s="41"/>
      <c r="B95" s="43"/>
      <c r="C95" s="44"/>
      <c r="D95" s="42" t="s">
        <v>169</v>
      </c>
      <c r="E95" s="45" t="s">
        <v>71</v>
      </c>
      <c r="F95" s="49">
        <f>F15-0.5*F75</f>
        <v>95.834999999999994</v>
      </c>
      <c r="G95" s="45"/>
      <c r="H95" s="49"/>
    </row>
    <row r="96" spans="1:8" x14ac:dyDescent="0.2">
      <c r="A96" s="41"/>
      <c r="B96" s="43"/>
      <c r="C96" s="44"/>
      <c r="D96" s="42" t="s">
        <v>170</v>
      </c>
      <c r="E96" s="45" t="s">
        <v>71</v>
      </c>
      <c r="F96" s="49">
        <f>F16-0.5*F76</f>
        <v>254.98</v>
      </c>
      <c r="G96" s="45"/>
      <c r="H96" s="49"/>
    </row>
    <row r="97" spans="1:8" x14ac:dyDescent="0.2">
      <c r="A97" s="41"/>
      <c r="B97" s="43"/>
      <c r="C97" s="44"/>
      <c r="D97" s="42" t="s">
        <v>171</v>
      </c>
      <c r="E97" s="45" t="s">
        <v>71</v>
      </c>
      <c r="F97" s="49">
        <f>F17-0.5*F77</f>
        <v>172.43</v>
      </c>
      <c r="G97" s="45"/>
      <c r="H97" s="49"/>
    </row>
    <row r="98" spans="1:8" x14ac:dyDescent="0.2">
      <c r="A98" s="41"/>
      <c r="B98" s="43"/>
      <c r="C98" s="44"/>
      <c r="D98" s="42" t="s">
        <v>234</v>
      </c>
      <c r="E98" s="45" t="s">
        <v>71</v>
      </c>
      <c r="F98" s="49">
        <f>F18-1.6*F118</f>
        <v>274.49600000000004</v>
      </c>
      <c r="G98" s="45"/>
      <c r="H98" s="49"/>
    </row>
    <row r="99" spans="1:8" x14ac:dyDescent="0.2">
      <c r="A99" s="41"/>
      <c r="B99" s="43"/>
      <c r="C99" s="44"/>
      <c r="D99" s="42" t="s">
        <v>172</v>
      </c>
      <c r="E99" s="45" t="s">
        <v>71</v>
      </c>
      <c r="F99" s="49">
        <f>F19-0.5*F78</f>
        <v>96.495000000000005</v>
      </c>
      <c r="G99" s="45"/>
      <c r="H99" s="49"/>
    </row>
    <row r="100" spans="1:8" x14ac:dyDescent="0.2">
      <c r="A100" s="41"/>
      <c r="B100" s="43"/>
      <c r="C100" s="44"/>
      <c r="D100" s="42" t="s">
        <v>173</v>
      </c>
      <c r="E100" s="45" t="s">
        <v>71</v>
      </c>
      <c r="F100" s="49">
        <f>F20-0.5*F79</f>
        <v>155.185</v>
      </c>
      <c r="G100" s="45"/>
      <c r="H100" s="49"/>
    </row>
    <row r="101" spans="1:8" x14ac:dyDescent="0.2">
      <c r="A101" s="41"/>
      <c r="B101" s="43"/>
      <c r="C101" s="44"/>
      <c r="D101" s="42" t="s">
        <v>174</v>
      </c>
      <c r="E101" s="45" t="s">
        <v>71</v>
      </c>
      <c r="F101" s="49">
        <f>F21-0.5*F80</f>
        <v>135.98999999999998</v>
      </c>
      <c r="G101" s="45"/>
      <c r="H101" s="49"/>
    </row>
    <row r="102" spans="1:8" x14ac:dyDescent="0.2">
      <c r="A102" s="41"/>
      <c r="B102" s="43"/>
      <c r="C102" s="44"/>
      <c r="D102" s="42" t="s">
        <v>175</v>
      </c>
      <c r="E102" s="45" t="s">
        <v>71</v>
      </c>
      <c r="F102" s="49">
        <f>F22-0.5*F81</f>
        <v>160.69499999999999</v>
      </c>
      <c r="G102" s="45"/>
      <c r="H102" s="49"/>
    </row>
    <row r="103" spans="1:8" x14ac:dyDescent="0.2">
      <c r="A103" s="41"/>
      <c r="B103" s="43"/>
      <c r="C103" s="44"/>
      <c r="D103" s="42" t="s">
        <v>235</v>
      </c>
      <c r="E103" s="45" t="s">
        <v>71</v>
      </c>
      <c r="F103" s="49">
        <f>F23-0.5*F82</f>
        <v>124.38</v>
      </c>
      <c r="G103" s="45"/>
      <c r="H103" s="49"/>
    </row>
    <row r="104" spans="1:8" x14ac:dyDescent="0.2">
      <c r="A104" s="41"/>
      <c r="B104" s="43"/>
      <c r="C104" s="44"/>
      <c r="D104" s="42" t="s">
        <v>176</v>
      </c>
      <c r="E104" s="45" t="s">
        <v>71</v>
      </c>
      <c r="F104" s="49">
        <f>F24-0.78*F83</f>
        <v>254.34239999999997</v>
      </c>
      <c r="G104" s="45"/>
      <c r="H104" s="49"/>
    </row>
    <row r="105" spans="1:8" x14ac:dyDescent="0.2">
      <c r="A105" s="41"/>
      <c r="B105" s="43"/>
      <c r="C105" s="44"/>
      <c r="D105" s="42" t="s">
        <v>177</v>
      </c>
      <c r="E105" s="45" t="s">
        <v>71</v>
      </c>
      <c r="F105" s="49">
        <f>F25-0.5*F84</f>
        <v>166.01</v>
      </c>
      <c r="G105" s="45"/>
      <c r="H105" s="49"/>
    </row>
    <row r="106" spans="1:8" x14ac:dyDescent="0.2">
      <c r="A106" s="41"/>
      <c r="B106" s="43"/>
      <c r="C106" s="44"/>
      <c r="D106" s="42" t="s">
        <v>178</v>
      </c>
      <c r="E106" s="45" t="s">
        <v>71</v>
      </c>
      <c r="F106" s="49">
        <f>F26-0.5*F85</f>
        <v>172.72499999999999</v>
      </c>
      <c r="G106" s="45"/>
      <c r="H106" s="49"/>
    </row>
    <row r="107" spans="1:8" x14ac:dyDescent="0.2">
      <c r="A107" s="41"/>
      <c r="B107" s="43"/>
      <c r="C107" s="44"/>
      <c r="D107" s="42" t="s">
        <v>236</v>
      </c>
      <c r="E107" s="45" t="s">
        <v>71</v>
      </c>
      <c r="F107" s="49">
        <f>F27-1.6*F119</f>
        <v>214.80800000000005</v>
      </c>
      <c r="G107" s="45"/>
      <c r="H107" s="49"/>
    </row>
    <row r="108" spans="1:8" x14ac:dyDescent="0.2">
      <c r="A108" s="41"/>
      <c r="B108" s="43"/>
      <c r="C108" s="44"/>
      <c r="D108" s="42" t="s">
        <v>179</v>
      </c>
      <c r="E108" s="45" t="s">
        <v>71</v>
      </c>
      <c r="F108" s="49">
        <f>F28-0.5*F86</f>
        <v>114.54500000000002</v>
      </c>
      <c r="G108" s="45"/>
      <c r="H108" s="49"/>
    </row>
    <row r="109" spans="1:8" x14ac:dyDescent="0.2">
      <c r="A109" s="41"/>
      <c r="B109" s="43"/>
      <c r="C109" s="44"/>
      <c r="D109" s="42" t="s">
        <v>180</v>
      </c>
      <c r="E109" s="45" t="s">
        <v>71</v>
      </c>
      <c r="F109" s="49">
        <f>F29-0.5*F87</f>
        <v>424.59</v>
      </c>
      <c r="G109" s="45"/>
      <c r="H109" s="49"/>
    </row>
    <row r="110" spans="1:8" x14ac:dyDescent="0.2">
      <c r="A110" s="41"/>
      <c r="B110" s="43"/>
      <c r="C110" s="44"/>
      <c r="D110" s="42" t="s">
        <v>181</v>
      </c>
      <c r="E110" s="45" t="s">
        <v>71</v>
      </c>
      <c r="F110" s="49">
        <f>F30-0.5*F88</f>
        <v>155.535</v>
      </c>
      <c r="G110" s="45"/>
      <c r="H110" s="49"/>
    </row>
    <row r="111" spans="1:8" x14ac:dyDescent="0.2">
      <c r="A111" s="41"/>
      <c r="B111" s="43"/>
      <c r="C111" s="44"/>
      <c r="D111" s="42" t="s">
        <v>237</v>
      </c>
      <c r="E111" s="45" t="s">
        <v>71</v>
      </c>
      <c r="F111" s="49">
        <f>F31-0.5*F89</f>
        <v>179.43</v>
      </c>
      <c r="G111" s="45"/>
      <c r="H111" s="49"/>
    </row>
    <row r="112" spans="1:8" x14ac:dyDescent="0.2">
      <c r="A112" s="41"/>
      <c r="B112" s="43"/>
      <c r="C112" s="44"/>
      <c r="D112" s="42" t="s">
        <v>238</v>
      </c>
      <c r="E112" s="45" t="s">
        <v>71</v>
      </c>
      <c r="F112" s="49">
        <f>F32-1.6*F120</f>
        <v>219.25399999999999</v>
      </c>
      <c r="G112" s="45"/>
      <c r="H112" s="49"/>
    </row>
    <row r="113" spans="1:8" x14ac:dyDescent="0.2">
      <c r="A113" s="41"/>
      <c r="B113" s="43"/>
      <c r="C113" s="44"/>
      <c r="D113" s="42" t="s">
        <v>182</v>
      </c>
      <c r="E113" s="45" t="s">
        <v>71</v>
      </c>
      <c r="F113" s="49">
        <f>F33-0.5*F90</f>
        <v>223.38499999999996</v>
      </c>
      <c r="G113" s="45"/>
      <c r="H113" s="49"/>
    </row>
    <row r="114" spans="1:8" x14ac:dyDescent="0.2">
      <c r="A114" s="41"/>
      <c r="B114" s="43"/>
      <c r="C114" s="44"/>
      <c r="D114" s="42" t="s">
        <v>183</v>
      </c>
      <c r="E114" s="45" t="s">
        <v>71</v>
      </c>
      <c r="F114" s="49">
        <f>F34-0.5*F91</f>
        <v>471.90500000000003</v>
      </c>
      <c r="G114" s="45"/>
      <c r="H114" s="49"/>
    </row>
    <row r="115" spans="1:8" x14ac:dyDescent="0.2">
      <c r="A115" s="41"/>
      <c r="B115" s="43"/>
      <c r="C115" s="44"/>
      <c r="D115" s="42" t="s">
        <v>239</v>
      </c>
      <c r="E115" s="45" t="s">
        <v>71</v>
      </c>
      <c r="F115" s="49">
        <f>F35-0.5*F92</f>
        <v>227.38499999999999</v>
      </c>
      <c r="G115" s="45"/>
      <c r="H115" s="49"/>
    </row>
    <row r="116" spans="1:8" x14ac:dyDescent="0.2">
      <c r="A116" s="28" t="str">
        <f>IF(C116=0,MAX($A$10:A92)+1," ")</f>
        <v xml:space="preserve"> </v>
      </c>
      <c r="B116" s="29" t="s">
        <v>9</v>
      </c>
      <c r="C116" s="30" t="s">
        <v>194</v>
      </c>
      <c r="D116" s="54" t="s">
        <v>195</v>
      </c>
      <c r="E116" s="54"/>
      <c r="F116" s="55"/>
      <c r="G116" s="54"/>
      <c r="H116" s="55"/>
    </row>
    <row r="117" spans="1:8" s="18" customFormat="1" ht="25.5" x14ac:dyDescent="0.2">
      <c r="A117" s="112">
        <v>9</v>
      </c>
      <c r="B117" s="31"/>
      <c r="C117" s="32"/>
      <c r="D117" s="51" t="s">
        <v>196</v>
      </c>
      <c r="E117" s="50" t="s">
        <v>8</v>
      </c>
      <c r="F117" s="48">
        <f>SUM(F118:F120)</f>
        <v>47.57</v>
      </c>
      <c r="G117" s="50"/>
      <c r="H117" s="48"/>
    </row>
    <row r="118" spans="1:8" x14ac:dyDescent="0.2">
      <c r="A118" s="41"/>
      <c r="B118" s="43"/>
      <c r="C118" s="44"/>
      <c r="D118" s="42" t="s">
        <v>250</v>
      </c>
      <c r="E118" s="45" t="s">
        <v>8</v>
      </c>
      <c r="F118" s="113">
        <v>17.64</v>
      </c>
      <c r="G118" s="45"/>
      <c r="H118" s="77"/>
    </row>
    <row r="119" spans="1:8" x14ac:dyDescent="0.2">
      <c r="A119" s="41"/>
      <c r="B119" s="43"/>
      <c r="C119" s="44"/>
      <c r="D119" s="42" t="s">
        <v>251</v>
      </c>
      <c r="E119" s="45" t="s">
        <v>8</v>
      </c>
      <c r="F119" s="113">
        <v>15.37</v>
      </c>
      <c r="G119" s="45"/>
      <c r="H119" s="49"/>
    </row>
    <row r="120" spans="1:8" ht="13.5" thickBot="1" x14ac:dyDescent="0.25">
      <c r="A120" s="111"/>
      <c r="B120" s="105"/>
      <c r="C120" s="106"/>
      <c r="D120" s="38" t="s">
        <v>252</v>
      </c>
      <c r="E120" s="107" t="s">
        <v>8</v>
      </c>
      <c r="F120" s="114">
        <v>14.56</v>
      </c>
      <c r="G120" s="107"/>
      <c r="H120" s="108"/>
    </row>
    <row r="121" spans="1:8" ht="21" customHeight="1" thickBot="1" x14ac:dyDescent="0.25">
      <c r="F121" s="109" t="s">
        <v>267</v>
      </c>
      <c r="G121" s="141"/>
      <c r="H121" s="142"/>
    </row>
    <row r="126" spans="1:8" s="7" customFormat="1" x14ac:dyDescent="0.2">
      <c r="A126" s="1"/>
      <c r="B126" s="2"/>
      <c r="C126" s="2"/>
      <c r="D126" s="39"/>
      <c r="F126" s="3"/>
      <c r="G126" s="2"/>
    </row>
  </sheetData>
  <mergeCells count="14">
    <mergeCell ref="G121:H121"/>
    <mergeCell ref="A6:A8"/>
    <mergeCell ref="B6:B8"/>
    <mergeCell ref="C6:C8"/>
    <mergeCell ref="D6:D8"/>
    <mergeCell ref="E6:F6"/>
    <mergeCell ref="E7:E8"/>
    <mergeCell ref="F7:F8"/>
    <mergeCell ref="A3:H3"/>
    <mergeCell ref="A1:H1"/>
    <mergeCell ref="A4:H4"/>
    <mergeCell ref="G6:H6"/>
    <mergeCell ref="G7:G8"/>
    <mergeCell ref="H7:H8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71" fitToHeight="58" orientation="portrait" useFirstPageNumber="1" r:id="rId1"/>
  <headerFooter alignWithMargins="0"/>
  <rowBreaks count="1" manualBreakCount="1">
    <brk id="72" max="7" man="1"/>
  </rowBreaks>
  <ignoredErrors>
    <ignoredError sqref="F10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18</vt:i4>
      </vt:variant>
    </vt:vector>
  </HeadingPairs>
  <TitlesOfParts>
    <vt:vector size="27" baseType="lpstr">
      <vt:lpstr>33+198_Wiewiórki</vt:lpstr>
      <vt:lpstr>27+480</vt:lpstr>
      <vt:lpstr>31+046</vt:lpstr>
      <vt:lpstr>36+092</vt:lpstr>
      <vt:lpstr>37+937</vt:lpstr>
      <vt:lpstr>38+937</vt:lpstr>
      <vt:lpstr>45+765</vt:lpstr>
      <vt:lpstr>48+349</vt:lpstr>
      <vt:lpstr>Przepusty okrągłe</vt:lpstr>
      <vt:lpstr>'27+480'!Obszar_wydruku</vt:lpstr>
      <vt:lpstr>'31+046'!Obszar_wydruku</vt:lpstr>
      <vt:lpstr>'33+198_Wiewiórki'!Obszar_wydruku</vt:lpstr>
      <vt:lpstr>'36+092'!Obszar_wydruku</vt:lpstr>
      <vt:lpstr>'37+937'!Obszar_wydruku</vt:lpstr>
      <vt:lpstr>'38+937'!Obszar_wydruku</vt:lpstr>
      <vt:lpstr>'45+765'!Obszar_wydruku</vt:lpstr>
      <vt:lpstr>'48+349'!Obszar_wydruku</vt:lpstr>
      <vt:lpstr>'Przepusty okrągłe'!Obszar_wydruku</vt:lpstr>
      <vt:lpstr>'27+480'!Tytuły_wydruku</vt:lpstr>
      <vt:lpstr>'31+046'!Tytuły_wydruku</vt:lpstr>
      <vt:lpstr>'33+198_Wiewiórki'!Tytuły_wydruku</vt:lpstr>
      <vt:lpstr>'36+092'!Tytuły_wydruku</vt:lpstr>
      <vt:lpstr>'37+937'!Tytuły_wydruku</vt:lpstr>
      <vt:lpstr>'38+937'!Tytuły_wydruku</vt:lpstr>
      <vt:lpstr>'45+765'!Tytuły_wydruku</vt:lpstr>
      <vt:lpstr>'48+349'!Tytuły_wydruku</vt:lpstr>
      <vt:lpstr>'Przepusty okrągłe'!Tytuły_wydruku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Europrojekt</dc:creator>
  <cp:lastModifiedBy>Roland</cp:lastModifiedBy>
  <cp:lastPrinted>2018-08-29T13:25:23Z</cp:lastPrinted>
  <dcterms:created xsi:type="dcterms:W3CDTF">2014-01-02T14:23:35Z</dcterms:created>
  <dcterms:modified xsi:type="dcterms:W3CDTF">2018-08-29T14:06:41Z</dcterms:modified>
</cp:coreProperties>
</file>